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Summary" sheetId="2" state="visible" r:id="rId2"/>
    <sheet xmlns:r="http://schemas.openxmlformats.org/officeDocument/2006/relationships" name="Inputs" sheetId="3" state="visible" r:id="rId3"/>
    <sheet xmlns:r="http://schemas.openxmlformats.org/officeDocument/2006/relationships" name="Bear" sheetId="4" state="visible" r:id="rId4"/>
    <sheet xmlns:r="http://schemas.openxmlformats.org/officeDocument/2006/relationships" name="Base" sheetId="5" state="visible" r:id="rId5"/>
    <sheet xmlns:r="http://schemas.openxmlformats.org/officeDocument/2006/relationships" name="Bull" sheetId="6" state="visible" r:id="rId6"/>
    <sheet xmlns:r="http://schemas.openxmlformats.org/officeDocument/2006/relationships" name="Sensitivity" sheetId="7" state="visible" r:id="rId7"/>
    <sheet xmlns:r="http://schemas.openxmlformats.org/officeDocument/2006/relationships" name="Earth_Return_Check" sheetId="8" state="visible" r:id="rId8"/>
    <sheet xmlns:r="http://schemas.openxmlformats.org/officeDocument/2006/relationships" name="Psyche_Inventory" sheetId="9" state="visible" r:id="rId9"/>
    <sheet xmlns:r="http://schemas.openxmlformats.org/officeDocument/2006/relationships" name="Reference_Data" sheetId="10" state="visible" r:id="rId10"/>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0"/>
  </numFmts>
  <fonts count="10">
    <font>
      <name val="Calibri"/>
      <family val="2"/>
      <color theme="1"/>
      <sz val="11"/>
      <scheme val="minor"/>
    </font>
    <font>
      <name val="Calibri"/>
      <b val="1"/>
      <color rgb="000B1F3A"/>
      <sz val="16"/>
    </font>
    <font>
      <name val="Calibri"/>
      <i val="1"/>
      <color rgb="007C2D12"/>
      <sz val="10"/>
    </font>
    <font>
      <name val="Calibri"/>
      <color rgb="006B7280"/>
      <sz val="9"/>
    </font>
    <font>
      <name val="Calibri"/>
      <b val="1"/>
    </font>
    <font>
      <name val="Calibri"/>
      <b val="1"/>
      <color rgb="00FFFFFF"/>
      <sz val="11"/>
    </font>
    <font>
      <name val="Calibri"/>
      <b val="1"/>
      <color rgb="001D4ED8"/>
    </font>
    <font>
      <i val="1"/>
      <color rgb="007C2D12"/>
    </font>
    <font>
      <b val="1"/>
      <color rgb="000B1F3A"/>
      <sz val="12"/>
    </font>
    <font>
      <i val="1"/>
    </font>
  </fonts>
  <fills count="5">
    <fill>
      <patternFill/>
    </fill>
    <fill>
      <patternFill patternType="gray125"/>
    </fill>
    <fill>
      <patternFill patternType="solid">
        <fgColor rgb="000B1F3A"/>
      </patternFill>
    </fill>
    <fill>
      <patternFill patternType="solid">
        <fgColor rgb="00FFF7D6"/>
      </patternFill>
    </fill>
    <fill>
      <patternFill patternType="solid">
        <fgColor rgb="00E5ECF4"/>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xf numFmtId="0" fontId="5" fillId="2" borderId="1" applyAlignment="1" pivotButton="0" quotePrefix="0" xfId="0">
      <alignment vertical="center" wrapText="1"/>
    </xf>
    <xf numFmtId="165" fontId="0" fillId="0" borderId="1" pivotButton="0" quotePrefix="0" xfId="0"/>
    <xf numFmtId="0" fontId="8" fillId="0" borderId="0" pivotButton="0" quotePrefix="0" xfId="0"/>
    <xf numFmtId="3" fontId="0" fillId="0" borderId="0" pivotButton="0" quotePrefix="0" xfId="0"/>
    <xf numFmtId="2" fontId="0" fillId="0" borderId="0" pivotButton="0" quotePrefix="0" xfId="0"/>
    <xf numFmtId="164" fontId="0" fillId="0" borderId="0" pivotButton="0" quotePrefix="0" xfId="0"/>
    <xf numFmtId="3" fontId="6" fillId="3" borderId="1" pivotButton="0" quotePrefix="0" xfId="0"/>
    <xf numFmtId="2" fontId="6" fillId="3" borderId="1" pivotButton="0" quotePrefix="0" xfId="0"/>
    <xf numFmtId="164" fontId="6" fillId="3" borderId="1" pivotButton="0" quotePrefix="0" xfId="0"/>
    <xf numFmtId="0" fontId="6" fillId="3" borderId="0" pivotButton="0" quotePrefix="0" xfId="0"/>
    <xf numFmtId="2" fontId="6" fillId="3" borderId="0" pivotButton="0" quotePrefix="0" xfId="0"/>
    <xf numFmtId="165" fontId="0" fillId="0" borderId="0" pivotButton="0" quotePrefix="0" xfId="0"/>
    <xf numFmtId="166" fontId="0" fillId="0" borderId="0" pivotButton="0" quotePrefix="0" xfId="0"/>
    <xf numFmtId="165" fontId="4" fillId="4" borderId="0" pivotButton="0" quotePrefix="0" xfId="0"/>
    <xf numFmtId="0" fontId="7" fillId="0" borderId="0" pivotButton="0" quotePrefix="0" xfId="0"/>
    <xf numFmtId="0" fontId="9" fillId="0" borderId="0" pivotButton="0" quotePrefix="0" xfId="0"/>
    <xf numFmtId="3" fontId="0" fillId="0" borderId="1" pivotButton="0" quotePrefix="0" xfId="0"/>
    <xf numFmtId="3" fontId="6" fillId="3" borderId="0" pivotButton="0" quotePrefix="0" xfId="0"/>
    <xf numFmtId="4" fontId="6" fillId="3" borderId="0" pivotButton="0" quotePrefix="0" xfId="0"/>
    <xf numFmtId="4" fontId="0" fillId="0" borderId="0" pivotButton="0" quotePrefix="0" xfId="0"/>
    <xf numFmtId="11" fontId="0" fillId="0" borderId="0" pivotButton="0" quotePrefix="0" xfId="0"/>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NPV by scenario ($M, illustrative)</a:t>
            </a:r>
          </a:p>
        </rich>
      </tx>
    </title>
    <plotArea>
      <barChart>
        <barDir val="col"/>
        <grouping val="clustered"/>
        <ser>
          <idx val="0"/>
          <order val="0"/>
          <spPr>
            <a:ln xmlns:a="http://schemas.openxmlformats.org/drawingml/2006/main">
              <a:prstDash val="solid"/>
            </a:ln>
          </spPr>
          <cat>
            <numRef>
              <f>'Summary'!$B$5:$D$5</f>
            </numRef>
          </cat>
          <val>
            <numRef>
              <f>'Summary'!$B$6:$D$6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4</row>
      <rowOff>0</rowOff>
    </from>
    <ext cx="50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1" t="inlineStr">
        <is>
          <t>16 Psyche — Illustrative Valuation Model (Sample Edition)</t>
        </is>
      </c>
    </row>
    <row r="2">
      <c r="A2" s="2" t="inlineStr">
        <is>
          <t>Every output in this workbook is a SCENARIO computed from the assumptions you enter. None of the outputs are forecasts or facts.</t>
        </is>
      </c>
    </row>
    <row r="3">
      <c r="A3" s="3" t="inlineStr">
        <is>
          <t>Space Resource Intelligence, published by 10timesIt LLC | 16psyche.space | SAMPLE EDITION — illustrative scenarios driven by user assumptions; not investment advice; outputs are not facts.</t>
        </is>
      </c>
    </row>
    <row r="5" ht="60" customHeight="1">
      <c r="A5" s="4" t="inlineStr">
        <is>
          <t>Purpose</t>
        </is>
      </c>
      <c r="B5" s="5" t="inlineStr">
        <is>
          <t>A transparent, editable cash-flow model for a hypothetical in-space metal-supply venture sourcing from a metal-rich asteroid. Default transit times reference NASA's Psyche mission (launch Oct 2023, arrival Aug 2029), but the model is target-agnostic: change transit, delta-v-driven mass and extraction inputs to model a near-Earth M-type target instead.</t>
        </is>
      </c>
    </row>
    <row r="6" ht="75" customHeight="1">
      <c r="A6" s="4" t="inlineStr">
        <is>
          <t>How to use</t>
        </is>
      </c>
      <c r="B6" s="5" t="inlineStr">
        <is>
          <t>1) Edit yellow cells on the 'Inputs' sheet (Bear / Base / Bull columns). 2) Each scenario tab (Bear, Base, Bull) recalculates a 40-year annual cash flow with formulas. 3) 'Summary' compares NPV, risk-adjusted NPV, and the break-even in-orbit metal value. 4) 'Earth_Return_Check' shows why returning bulk metal to Earth collapses prices. 5) 'Psyche_Inventory' converts sourced physical data into contained-metal ranges.</t>
        </is>
      </c>
    </row>
    <row r="7" ht="30" customHeight="1">
      <c r="A7" s="4" t="inlineStr">
        <is>
          <t>Colour code</t>
        </is>
      </c>
      <c r="B7" s="5" t="inlineStr">
        <is>
          <t>Yellow fill + blue text = user-editable assumption. White = formula. Do not overwrite formulas.</t>
        </is>
      </c>
    </row>
    <row r="8" ht="75" customHeight="1">
      <c r="A8" s="4" t="inlineStr">
        <is>
          <t>Model logic</t>
        </is>
      </c>
      <c r="B8" s="5" t="inlineStr">
        <is>
          <t>Development capex is spread evenly over the development period; launch cost (= launched mass x launch $/kg) is booked in the final development year. Operations start after outbound transit. Metal shipped each operating year = extraction rate x processing yield x transport efficiency, and is delivered (and paid for) after the return transit. Opex accrues in operating years. Cash flows are discounted at end of year.</t>
        </is>
      </c>
    </row>
    <row r="9" ht="30" customHeight="1">
      <c r="A9" s="4" t="inlineStr">
        <is>
          <t>Risk adjustment</t>
        </is>
      </c>
      <c r="B9" s="5" t="inlineStr">
        <is>
          <t>Risk-adjusted NPV = -PV(capex + launch) + P(technical success) x PV(revenue - opex). This is a simplification; real programmes have staged gates.</t>
        </is>
      </c>
    </row>
    <row r="10" ht="75" customHeight="1">
      <c r="A10" s="4" t="inlineStr">
        <is>
          <t>Key tension (read this)</t>
        </is>
      </c>
      <c r="B10" s="5" t="inlineStr">
        <is>
          <t>Launch cost appears twice: as a cost (launching your plant) and as the economic ceiling on what in-space metal is worth (a buyer will not pay much more than the cost of launching equivalent metal from Earth to the point of use). Scenarios that pair very cheap launch with very high in-orbit metal value are internally inconsistent unless the metal is used far beyond LEO (e.g., cislunar or deep space).</t>
        </is>
      </c>
    </row>
    <row r="11" ht="60" customHeight="1">
      <c r="A11" s="4" t="inlineStr">
        <is>
          <t>Confidence grades</t>
        </is>
      </c>
      <c r="B11" s="5" t="inlineStr">
        <is>
          <t>Reference data carry a grade: MEASURED (direct observation / published measurement with stated uncertainty), INFERRED (derived by published models or by SRI arithmetic from measured inputs), SPECULATIVE (assumption, analogue, or untested). All Bear/Base/Bull defaults are SRI ASSUMPTIONS (speculative) unless a source is shown.</t>
        </is>
      </c>
    </row>
    <row r="12" ht="30" customHeight="1">
      <c r="A12" s="4" t="inlineStr">
        <is>
          <t>Sources</t>
        </is>
      </c>
      <c r="B12" s="5" t="inlineStr">
        <is>
          <t>See 'Reference_Data' sheet and the Sources appendix of the companion PDF report.</t>
        </is>
      </c>
    </row>
    <row r="13" ht="30" customHeight="1">
      <c r="A13" s="4" t="inlineStr">
        <is>
          <t>Publisher</t>
        </is>
      </c>
      <c r="B13" s="5" t="inlineStr">
        <is>
          <t>Space Resource Intelligence, published by 10timesIt LLC — 16psyche.space. Sample edition. Not investment, legal, or engineering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44" customWidth="1" min="1" max="1"/>
    <col width="18" customWidth="1" min="2" max="2"/>
    <col width="18" customWidth="1" min="3" max="3"/>
    <col width="18" customWidth="1" min="4" max="4"/>
  </cols>
  <sheetData>
    <row r="1">
      <c r="A1" s="1" t="inlineStr">
        <is>
          <t>Scenario summary — illustrative outputs</t>
        </is>
      </c>
    </row>
    <row r="2">
      <c r="A2" s="2" t="inlineStr">
        <is>
          <t>These are scenarios computed from your assumptions, not forecasts. Change Inputs to see effects.</t>
        </is>
      </c>
    </row>
    <row r="3">
      <c r="A3" s="3" t="inlineStr">
        <is>
          <t>Space Resource Intelligence, published by 10timesIt LLC | 16psyche.space | SAMPLE EDITION — illustrative scenarios driven by user assumptions; not investment advice; outputs are not facts.</t>
        </is>
      </c>
    </row>
    <row r="5">
      <c r="A5" s="6" t="inlineStr">
        <is>
          <t>Metric</t>
        </is>
      </c>
      <c r="B5" s="6" t="inlineStr">
        <is>
          <t>Bear</t>
        </is>
      </c>
      <c r="C5" s="6" t="inlineStr">
        <is>
          <t>Base</t>
        </is>
      </c>
      <c r="D5" s="6" t="inlineStr">
        <is>
          <t>Bull</t>
        </is>
      </c>
    </row>
    <row r="6">
      <c r="A6" s="4" t="inlineStr">
        <is>
          <t>NPV ($M)</t>
        </is>
      </c>
      <c r="B6" s="7">
        <f>'Bear'!B47</f>
        <v/>
      </c>
      <c r="C6" s="7">
        <f>'Base'!B47</f>
        <v/>
      </c>
      <c r="D6" s="7">
        <f>'Bull'!B47</f>
        <v/>
      </c>
    </row>
    <row r="7">
      <c r="A7" s="4" t="inlineStr">
        <is>
          <t>PV capex + launch ($M)</t>
        </is>
      </c>
      <c r="B7" s="7">
        <f>'Bear'!B48</f>
        <v/>
      </c>
      <c r="C7" s="7">
        <f>'Base'!B48</f>
        <v/>
      </c>
      <c r="D7" s="7">
        <f>'Bull'!B48</f>
        <v/>
      </c>
    </row>
    <row r="8">
      <c r="A8" s="4" t="inlineStr">
        <is>
          <t>PV revenue - opex ($M)</t>
        </is>
      </c>
      <c r="B8" s="7">
        <f>'Bear'!B49</f>
        <v/>
      </c>
      <c r="C8" s="7">
        <f>'Base'!B49</f>
        <v/>
      </c>
      <c r="D8" s="7">
        <f>'Bull'!B49</f>
        <v/>
      </c>
    </row>
    <row r="9">
      <c r="A9" s="4" t="inlineStr">
        <is>
          <t>Risk-adjusted NPV ($M)</t>
        </is>
      </c>
      <c r="B9" s="7">
        <f>'Bear'!B50</f>
        <v/>
      </c>
      <c r="C9" s="7">
        <f>'Base'!B50</f>
        <v/>
      </c>
      <c r="D9" s="7">
        <f>'Bull'!B50</f>
        <v/>
      </c>
    </row>
    <row r="10">
      <c r="A10" s="4" t="inlineStr">
        <is>
          <t>Total metal delivered (t)</t>
        </is>
      </c>
      <c r="B10" s="7">
        <f>'Bear'!B51</f>
        <v/>
      </c>
      <c r="C10" s="7">
        <f>'Base'!B51</f>
        <v/>
      </c>
      <c r="D10" s="7">
        <f>'Bull'!B51</f>
        <v/>
      </c>
    </row>
    <row r="11">
      <c r="A11" s="4" t="inlineStr">
        <is>
          <t>First delivery year</t>
        </is>
      </c>
      <c r="B11" s="7">
        <f>'Bear'!B52</f>
        <v/>
      </c>
      <c r="C11" s="7">
        <f>'Base'!B52</f>
        <v/>
      </c>
      <c r="D11" s="7">
        <f>'Bull'!B52</f>
        <v/>
      </c>
    </row>
    <row r="12">
      <c r="A12" s="4" t="inlineStr">
        <is>
          <t>Break-even in-orbit value ($/kg)</t>
        </is>
      </c>
      <c r="B12" s="7">
        <f>'Bear'!B53</f>
        <v/>
      </c>
      <c r="C12" s="7">
        <f>'Base'!B53</f>
        <v/>
      </c>
      <c r="D12" s="7">
        <f>'Bull'!B53</f>
        <v/>
      </c>
    </row>
    <row r="13">
      <c r="A13" s="4" t="inlineStr">
        <is>
          <t>Break-even value / launch cost (x)</t>
        </is>
      </c>
      <c r="B13" s="7">
        <f>'Bear'!B54</f>
        <v/>
      </c>
      <c r="C13" s="7">
        <f>'Base'!B54</f>
        <v/>
      </c>
      <c r="D13" s="7">
        <f>'Bull'!B54</f>
        <v/>
      </c>
    </row>
    <row r="14">
      <c r="A14" s="4" t="inlineStr">
        <is>
          <t>Undiscounted cumulative cash ($M)</t>
        </is>
      </c>
      <c r="B14" s="7">
        <f>'Bear'!B55</f>
        <v/>
      </c>
      <c r="C14" s="7">
        <f>'Base'!B55</f>
        <v/>
      </c>
      <c r="D14" s="7">
        <f>'Bull'!B55</f>
        <v/>
      </c>
    </row>
    <row r="16">
      <c r="A16" s="8" t="inlineStr">
        <is>
          <t>Key inputs echoed</t>
        </is>
      </c>
    </row>
    <row r="17">
      <c r="A17" t="inlineStr">
        <is>
          <t>Launch cost to LEO ($/kg)</t>
        </is>
      </c>
      <c r="B17" s="9">
        <f>Inputs!C6</f>
        <v/>
      </c>
      <c r="C17" s="9">
        <f>Inputs!D6</f>
        <v/>
      </c>
      <c r="D17" s="9">
        <f>Inputs!E6</f>
        <v/>
      </c>
    </row>
    <row r="18">
      <c r="A18" t="inlineStr">
        <is>
          <t>In-orbit metal value (delivered) ($/kg)</t>
        </is>
      </c>
      <c r="B18" s="9">
        <f>Inputs!C7</f>
        <v/>
      </c>
      <c r="C18" s="9">
        <f>Inputs!D7</f>
        <v/>
      </c>
      <c r="D18" s="9">
        <f>Inputs!E7</f>
        <v/>
      </c>
    </row>
    <row r="19">
      <c r="A19" t="inlineStr">
        <is>
          <t>Launched plant + spacecraft mass (kg)</t>
        </is>
      </c>
      <c r="B19" s="9">
        <f>Inputs!C8</f>
        <v/>
      </c>
      <c r="C19" s="9">
        <f>Inputs!D8</f>
        <v/>
      </c>
      <c r="D19" s="9">
        <f>Inputs!E8</f>
        <v/>
      </c>
    </row>
    <row r="20">
      <c r="A20" t="inlineStr">
        <is>
          <t>Mission capex excl. launch ($M)</t>
        </is>
      </c>
      <c r="B20" s="9">
        <f>Inputs!C9</f>
        <v/>
      </c>
      <c r="C20" s="9">
        <f>Inputs!D9</f>
        <v/>
      </c>
      <c r="D20" s="9">
        <f>Inputs!E9</f>
        <v/>
      </c>
    </row>
    <row r="21">
      <c r="A21" t="inlineStr">
        <is>
          <t>Development period (years)</t>
        </is>
      </c>
      <c r="B21" s="9">
        <f>Inputs!C10</f>
        <v/>
      </c>
      <c r="C21" s="9">
        <f>Inputs!D10</f>
        <v/>
      </c>
      <c r="D21" s="9">
        <f>Inputs!E10</f>
        <v/>
      </c>
    </row>
    <row r="22">
      <c r="A22" t="inlineStr">
        <is>
          <t>Outbound transit (years)</t>
        </is>
      </c>
      <c r="B22" s="9">
        <f>Inputs!C11</f>
        <v/>
      </c>
      <c r="C22" s="9">
        <f>Inputs!D11</f>
        <v/>
      </c>
      <c r="D22" s="9">
        <f>Inputs!E11</f>
        <v/>
      </c>
    </row>
    <row r="23">
      <c r="A23" t="inlineStr">
        <is>
          <t>Return transit (laden) (years)</t>
        </is>
      </c>
      <c r="B23" s="9">
        <f>Inputs!C12</f>
        <v/>
      </c>
      <c r="C23" s="9">
        <f>Inputs!D12</f>
        <v/>
      </c>
      <c r="D23" s="9">
        <f>Inputs!E12</f>
        <v/>
      </c>
    </row>
    <row r="24">
      <c r="A24" t="inlineStr">
        <is>
          <t>Extraction rate (t/yr)</t>
        </is>
      </c>
      <c r="B24" s="9">
        <f>Inputs!C13</f>
        <v/>
      </c>
      <c r="C24" s="9">
        <f>Inputs!D13</f>
        <v/>
      </c>
      <c r="D24" s="9">
        <f>Inputs!E13</f>
        <v/>
      </c>
    </row>
    <row r="25">
      <c r="A25" t="inlineStr">
        <is>
          <t>Processing yield (usable metal / extracted) (fraction)</t>
        </is>
      </c>
      <c r="B25" s="10">
        <f>Inputs!C14</f>
        <v/>
      </c>
      <c r="C25" s="10">
        <f>Inputs!D14</f>
        <v/>
      </c>
      <c r="D25" s="10">
        <f>Inputs!E14</f>
        <v/>
      </c>
    </row>
    <row r="26">
      <c r="A26" t="inlineStr">
        <is>
          <t>Transport efficiency (delivered / shipped) (fraction)</t>
        </is>
      </c>
      <c r="B26" s="10">
        <f>Inputs!C15</f>
        <v/>
      </c>
      <c r="C26" s="10">
        <f>Inputs!D15</f>
        <v/>
      </c>
      <c r="D26" s="10">
        <f>Inputs!E15</f>
        <v/>
      </c>
    </row>
    <row r="27">
      <c r="A27" t="inlineStr">
        <is>
          <t>Operating years at body (years)</t>
        </is>
      </c>
      <c r="B27" s="9">
        <f>Inputs!C16</f>
        <v/>
      </c>
      <c r="C27" s="9">
        <f>Inputs!D16</f>
        <v/>
      </c>
      <c r="D27" s="9">
        <f>Inputs!E16</f>
        <v/>
      </c>
    </row>
    <row r="28">
      <c r="A28" t="inlineStr">
        <is>
          <t>Annual operating cost ($M/yr)</t>
        </is>
      </c>
      <c r="B28" s="9">
        <f>Inputs!C17</f>
        <v/>
      </c>
      <c r="C28" s="9">
        <f>Inputs!D17</f>
        <v/>
      </c>
      <c r="D28" s="9">
        <f>Inputs!E17</f>
        <v/>
      </c>
    </row>
    <row r="29">
      <c r="A29" t="inlineStr">
        <is>
          <t>Discount rate (%)</t>
        </is>
      </c>
      <c r="B29" s="11">
        <f>Inputs!C18</f>
        <v/>
      </c>
      <c r="C29" s="11">
        <f>Inputs!D18</f>
        <v/>
      </c>
      <c r="D29" s="11">
        <f>Inputs!E18</f>
        <v/>
      </c>
    </row>
    <row r="30">
      <c r="A30" t="inlineStr">
        <is>
          <t>Probability of technical success (fraction)</t>
        </is>
      </c>
      <c r="B30" s="10">
        <f>Inputs!C19</f>
        <v/>
      </c>
      <c r="C30" s="10">
        <f>Inputs!D19</f>
        <v/>
      </c>
      <c r="D30" s="10">
        <f>Inputs!E19</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G24"/>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2" customWidth="1" min="4" max="4"/>
    <col width="12" customWidth="1" min="5" max="5"/>
    <col width="12" customWidth="1" min="6" max="6"/>
    <col width="95" customWidth="1" min="7" max="7"/>
  </cols>
  <sheetData>
    <row r="1">
      <c r="A1" s="1" t="inlineStr">
        <is>
          <t>Inputs — editable assumptions by scenario</t>
        </is>
      </c>
    </row>
    <row r="2">
      <c r="A2" s="2" t="inlineStr">
        <is>
          <t>Yellow cells are assumptions. Defaults are SRI illustrative assumptions (SPECULATIVE) except where a reference is noted.</t>
        </is>
      </c>
    </row>
    <row r="3">
      <c r="A3" s="3" t="inlineStr">
        <is>
          <t>Space Resource Intelligence, published by 10timesIt LLC | 16psyche.space | SAMPLE EDITION — illustrative scenarios driven by user assumptions; not investment advice; outputs are not facts.</t>
        </is>
      </c>
    </row>
    <row r="5">
      <c r="A5" s="6" t="inlineStr">
        <is>
          <t>Parameter</t>
        </is>
      </c>
      <c r="B5" s="6" t="inlineStr">
        <is>
          <t>Unit</t>
        </is>
      </c>
      <c r="C5" s="6" t="inlineStr">
        <is>
          <t>Bear</t>
        </is>
      </c>
      <c r="D5" s="6" t="inlineStr">
        <is>
          <t>Base</t>
        </is>
      </c>
      <c r="E5" s="6" t="inlineStr">
        <is>
          <t>Bull</t>
        </is>
      </c>
      <c r="F5" s="6" t="inlineStr">
        <is>
          <t>Grade</t>
        </is>
      </c>
      <c r="G5" s="6" t="inlineStr">
        <is>
          <t>Basis / reference</t>
        </is>
      </c>
    </row>
    <row r="6" ht="32" customHeight="1">
      <c r="A6" t="inlineStr">
        <is>
          <t>Launch cost to LEO</t>
        </is>
      </c>
      <c r="B6" t="inlineStr">
        <is>
          <t>$/kg</t>
        </is>
      </c>
      <c r="C6" s="12" t="n">
        <v>2720</v>
      </c>
      <c r="D6" s="12" t="n">
        <v>1410</v>
      </c>
      <c r="E6" s="12" t="n">
        <v>500</v>
      </c>
      <c r="F6" t="inlineStr">
        <is>
          <t>Assumption</t>
        </is>
      </c>
      <c r="G6" s="5" t="inlineStr">
        <is>
          <t>Bear/Base anchor: Jones (2018, NASA NTRS ICES-2018-81) Falcon 9 ≈ $2.7k/kg, Falcon Heavy ≈ $1.4k/kg (2018 $). Bull is an SRI assumption for future fully reusable launch.</t>
        </is>
      </c>
    </row>
    <row r="7" ht="32" customHeight="1">
      <c r="A7" t="inlineStr">
        <is>
          <t>In-orbit metal value (delivered)</t>
        </is>
      </c>
      <c r="B7" t="inlineStr">
        <is>
          <t>$/kg</t>
        </is>
      </c>
      <c r="C7" s="12" t="n">
        <v>500</v>
      </c>
      <c r="D7" s="12" t="n">
        <v>1500</v>
      </c>
      <c r="E7" s="12" t="n">
        <v>3000</v>
      </c>
      <c r="F7" t="inlineStr">
        <is>
          <t>Assumption</t>
        </is>
      </c>
      <c r="G7" s="5" t="inlineStr">
        <is>
          <t>No market price exists. Proxy = avoided cost of launching equivalent mass from Earth to point of use. Compare with terrestrial nickel ≈ $15/kg and iron ore ≈ $0.1/kg (USGS MCS 2026).</t>
        </is>
      </c>
    </row>
    <row r="8" ht="32" customHeight="1">
      <c r="A8" t="inlineStr">
        <is>
          <t>Launched plant + spacecraft mass</t>
        </is>
      </c>
      <c r="B8" t="inlineStr">
        <is>
          <t>kg</t>
        </is>
      </c>
      <c r="C8" s="12" t="n">
        <v>20000</v>
      </c>
      <c r="D8" s="12" t="n">
        <v>10000</v>
      </c>
      <c r="E8" s="12" t="n">
        <v>5000</v>
      </c>
      <c r="F8" t="inlineStr">
        <is>
          <t>Assumption</t>
        </is>
      </c>
      <c r="G8" s="5" t="inlineStr">
        <is>
          <t>SRI assumption. For scale, NASA's Psyche spacecraft carried up to 1,085 kg of xenon propellant alone (IEPC-2024-126).</t>
        </is>
      </c>
    </row>
    <row r="9" ht="32" customHeight="1">
      <c r="A9" t="inlineStr">
        <is>
          <t>Mission capex excl. launch</t>
        </is>
      </c>
      <c r="B9" t="inlineStr">
        <is>
          <t>$M</t>
        </is>
      </c>
      <c r="C9" s="12" t="n">
        <v>3000</v>
      </c>
      <c r="D9" s="12" t="n">
        <v>1500</v>
      </c>
      <c r="E9" s="12" t="n">
        <v>750</v>
      </c>
      <c r="F9" t="inlineStr">
        <is>
          <t>Assumption</t>
        </is>
      </c>
      <c r="G9" s="5" t="inlineStr">
        <is>
          <t>Benchmark: NASA Psyche science mission life-cycle cost $985M incl. launch (NASA, 2022). AstroForge Odin built for $3.5M (company).</t>
        </is>
      </c>
    </row>
    <row r="10" ht="32" customHeight="1">
      <c r="A10" t="inlineStr">
        <is>
          <t>Development period</t>
        </is>
      </c>
      <c r="B10" t="inlineStr">
        <is>
          <t>years</t>
        </is>
      </c>
      <c r="C10" s="12" t="n">
        <v>8</v>
      </c>
      <c r="D10" s="12" t="n">
        <v>6</v>
      </c>
      <c r="E10" s="12" t="n">
        <v>5</v>
      </c>
      <c r="F10" t="inlineStr">
        <is>
          <t>Assumption</t>
        </is>
      </c>
      <c r="G10" s="5" t="inlineStr">
        <is>
          <t>SRI assumption.</t>
        </is>
      </c>
    </row>
    <row r="11" ht="32" customHeight="1">
      <c r="A11" t="inlineStr">
        <is>
          <t>Outbound transit</t>
        </is>
      </c>
      <c r="B11" t="inlineStr">
        <is>
          <t>years</t>
        </is>
      </c>
      <c r="C11" s="12" t="n">
        <v>6</v>
      </c>
      <c r="D11" s="12" t="n">
        <v>5</v>
      </c>
      <c r="E11" s="12" t="n">
        <v>3</v>
      </c>
      <c r="F11" t="inlineStr">
        <is>
          <t>Assumption</t>
        </is>
      </c>
      <c r="G11" s="5" t="inlineStr">
        <is>
          <t>NASA Psyche: Oct 2023 launch to Aug 2029 arrival ≈ 5.8 yr (SEP + Mars gravity assist). Ideal impulsive Hohmann ≈ 1.4 yr (SRI calc).</t>
        </is>
      </c>
    </row>
    <row r="12" ht="32" customHeight="1">
      <c r="A12" t="inlineStr">
        <is>
          <t>Return transit (laden)</t>
        </is>
      </c>
      <c r="B12" t="inlineStr">
        <is>
          <t>years</t>
        </is>
      </c>
      <c r="C12" s="12" t="n">
        <v>6</v>
      </c>
      <c r="D12" s="12" t="n">
        <v>5</v>
      </c>
      <c r="E12" s="12" t="n">
        <v>3</v>
      </c>
      <c r="F12" t="inlineStr">
        <is>
          <t>Assumption</t>
        </is>
      </c>
      <c r="G12" s="5" t="inlineStr">
        <is>
          <t>SRI assumption; laden return with SEP is likely slower than outbound.</t>
        </is>
      </c>
    </row>
    <row r="13" ht="32" customHeight="1">
      <c r="A13" t="inlineStr">
        <is>
          <t>Extraction rate</t>
        </is>
      </c>
      <c r="B13" t="inlineStr">
        <is>
          <t>t/yr</t>
        </is>
      </c>
      <c r="C13" s="12" t="n">
        <v>100</v>
      </c>
      <c r="D13" s="12" t="n">
        <v>1000</v>
      </c>
      <c r="E13" s="12" t="n">
        <v>5000</v>
      </c>
      <c r="F13" t="inlineStr">
        <is>
          <t>Assumption</t>
        </is>
      </c>
      <c r="G13" s="5" t="inlineStr">
        <is>
          <t>No asteroid extraction has ever been demonstrated at any scale. SRI assumption.</t>
        </is>
      </c>
    </row>
    <row r="14" ht="32" customHeight="1">
      <c r="A14" t="inlineStr">
        <is>
          <t>Processing yield (usable metal / extracted)</t>
        </is>
      </c>
      <c r="B14" t="inlineStr">
        <is>
          <t>fraction</t>
        </is>
      </c>
      <c r="C14" s="13" t="n">
        <v>0.3</v>
      </c>
      <c r="D14" s="13" t="n">
        <v>0.5</v>
      </c>
      <c r="E14" s="13" t="n">
        <v>0.7</v>
      </c>
      <c r="F14" t="inlineStr">
        <is>
          <t>Assumption</t>
        </is>
      </c>
      <c r="G14" s="5" t="inlineStr">
        <is>
          <t>Bounded by bulk metal fraction: ≥16 vol% (95% conf., Cambioni et al. 2026) to fully metallic if porous; surface model 82.5 wt% (Cantillo et al. 2021).</t>
        </is>
      </c>
    </row>
    <row r="15" ht="32" customHeight="1">
      <c r="A15" t="inlineStr">
        <is>
          <t>Transport efficiency (delivered / shipped)</t>
        </is>
      </c>
      <c r="B15" t="inlineStr">
        <is>
          <t>fraction</t>
        </is>
      </c>
      <c r="C15" s="13" t="n">
        <v>0.5</v>
      </c>
      <c r="D15" s="13" t="n">
        <v>0.7</v>
      </c>
      <c r="E15" s="13" t="n">
        <v>0.85</v>
      </c>
      <c r="F15" t="inlineStr">
        <is>
          <t>Assumption</t>
        </is>
      </c>
      <c r="G15" s="5" t="inlineStr">
        <is>
          <t>Share of shipped metal not consumed as propellant/lost. SRI assumption.</t>
        </is>
      </c>
    </row>
    <row r="16" ht="32" customHeight="1">
      <c r="A16" t="inlineStr">
        <is>
          <t>Operating years at body</t>
        </is>
      </c>
      <c r="B16" t="inlineStr">
        <is>
          <t>years</t>
        </is>
      </c>
      <c r="C16" s="12" t="n">
        <v>10</v>
      </c>
      <c r="D16" s="12" t="n">
        <v>10</v>
      </c>
      <c r="E16" s="12" t="n">
        <v>10</v>
      </c>
      <c r="F16" t="inlineStr">
        <is>
          <t>Assumption</t>
        </is>
      </c>
      <c r="G16" s="5" t="inlineStr">
        <is>
          <t>SRI assumption.</t>
        </is>
      </c>
    </row>
    <row r="17" ht="32" customHeight="1">
      <c r="A17" t="inlineStr">
        <is>
          <t>Annual operating cost</t>
        </is>
      </c>
      <c r="B17" t="inlineStr">
        <is>
          <t>$M/yr</t>
        </is>
      </c>
      <c r="C17" s="12" t="n">
        <v>150</v>
      </c>
      <c r="D17" s="12" t="n">
        <v>100</v>
      </c>
      <c r="E17" s="12" t="n">
        <v>50</v>
      </c>
      <c r="F17" t="inlineStr">
        <is>
          <t>Assumption</t>
        </is>
      </c>
      <c r="G17" s="5" t="inlineStr">
        <is>
          <t>SRI assumption (includes deep-space comms, ops team, replacement parts).</t>
        </is>
      </c>
    </row>
    <row r="18" ht="32" customHeight="1">
      <c r="A18" t="inlineStr">
        <is>
          <t>Discount rate</t>
        </is>
      </c>
      <c r="B18" t="inlineStr">
        <is>
          <t>%</t>
        </is>
      </c>
      <c r="C18" s="14" t="n">
        <v>0.15</v>
      </c>
      <c r="D18" s="14" t="n">
        <v>0.12</v>
      </c>
      <c r="E18" s="14" t="n">
        <v>0.1</v>
      </c>
      <c r="F18" t="inlineStr">
        <is>
          <t>Assumption</t>
        </is>
      </c>
      <c r="G18" s="5" t="inlineStr">
        <is>
          <t>Venture-stage deep-tech hurdle rates; SRI assumption.</t>
        </is>
      </c>
    </row>
    <row r="19" ht="32" customHeight="1">
      <c r="A19" t="inlineStr">
        <is>
          <t>Probability of technical success</t>
        </is>
      </c>
      <c r="B19" t="inlineStr">
        <is>
          <t>fraction</t>
        </is>
      </c>
      <c r="C19" s="13" t="n">
        <v>0.2</v>
      </c>
      <c r="D19" s="13" t="n">
        <v>0.35</v>
      </c>
      <c r="E19" s="13" t="n">
        <v>0.5</v>
      </c>
      <c r="F19" t="inlineStr">
        <is>
          <t>Assumption</t>
        </is>
      </c>
      <c r="G19" s="5" t="inlineStr">
        <is>
          <t>SRI assumption. Reference: AstroForge's two prototype spacecraft both suffered anomalies (TechCrunch, Sep 2026).</t>
        </is>
      </c>
    </row>
    <row r="21">
      <c r="A21" s="4" t="inlineStr">
        <is>
          <t>Helper: in-orbit value implied by launch cost x destination multiple</t>
        </is>
      </c>
    </row>
    <row r="22">
      <c r="A22" t="inlineStr">
        <is>
          <t>Destination cost multiple vs LEO (e.g., GEO/cislunar)</t>
        </is>
      </c>
      <c r="C22" s="15" t="n">
        <v>2</v>
      </c>
      <c r="D22" s="15" t="n">
        <v>3</v>
      </c>
      <c r="E22" s="15" t="n">
        <v>4</v>
      </c>
      <c r="G22" t="inlineStr">
        <is>
          <t>SRI assumption. Delivering mass beyond LEO costs a multiple of LEO launch cost; a seller can capture only part of that.</t>
        </is>
      </c>
    </row>
    <row r="23">
      <c r="A23" t="inlineStr">
        <is>
          <t>Capture share of avoided cost</t>
        </is>
      </c>
      <c r="C23" s="16" t="n">
        <v>0.3</v>
      </c>
      <c r="D23" s="16" t="n">
        <v>0.5</v>
      </c>
      <c r="E23" s="16" t="n">
        <v>0.6</v>
      </c>
    </row>
    <row r="24">
      <c r="A24" t="inlineStr">
        <is>
          <t>Implied in-orbit value ($/kg) — compare with row above</t>
        </is>
      </c>
      <c r="C24" s="9">
        <f>C6*C22*C23</f>
        <v/>
      </c>
      <c r="D24" s="9">
        <f>D6*D22*D23</f>
        <v/>
      </c>
      <c r="E24" s="9">
        <f>E6*E22*E23</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7"/>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Bear scenario — annual cash flow (illustrative)</t>
        </is>
      </c>
    </row>
    <row r="2">
      <c r="A2" s="2" t="inlineStr">
        <is>
          <t>All values driven by Inputs!C. Currency: US$ millions unless stated. SCENARIO OUTPUT, NOT A FORECAST.</t>
        </is>
      </c>
    </row>
    <row r="3">
      <c r="A3" s="3" t="inlineStr">
        <is>
          <t>Space Resource Intelligence, published by 10timesIt LLC | 16psyche.space | SAMPLE EDITION — illustrative scenarios driven by user assumptions; not investment advice; outputs are not facts.</t>
        </is>
      </c>
    </row>
    <row r="5">
      <c r="A5" s="6" t="inlineStr">
        <is>
          <t>Year</t>
        </is>
      </c>
      <c r="B5" s="6" t="inlineStr">
        <is>
          <t>Capex ($M)</t>
        </is>
      </c>
      <c r="C5" s="6" t="inlineStr">
        <is>
          <t>Launch ($M)</t>
        </is>
      </c>
      <c r="D5" s="6" t="inlineStr">
        <is>
          <t>Opex ($M)</t>
        </is>
      </c>
      <c r="E5" s="6" t="inlineStr">
        <is>
          <t>Metal shipped (t)</t>
        </is>
      </c>
      <c r="F5" s="6" t="inlineStr">
        <is>
          <t>Metal delivered (t)</t>
        </is>
      </c>
      <c r="G5" s="6" t="inlineStr">
        <is>
          <t>Revenue ($M)</t>
        </is>
      </c>
      <c r="H5" s="6" t="inlineStr">
        <is>
          <t>Net cash flow ($M)</t>
        </is>
      </c>
      <c r="I5" s="6" t="inlineStr">
        <is>
          <t>Discount factor</t>
        </is>
      </c>
      <c r="J5" s="6" t="inlineStr">
        <is>
          <t>PV net ($M)</t>
        </is>
      </c>
      <c r="K5" s="6" t="inlineStr">
        <is>
          <t>PV capex+launch ($M)</t>
        </is>
      </c>
      <c r="L5" s="6" t="inlineStr">
        <is>
          <t>PV revenue-opex ($M)</t>
        </is>
      </c>
      <c r="M5" s="6" t="inlineStr">
        <is>
          <t>PV delivered (t)</t>
        </is>
      </c>
    </row>
    <row r="6">
      <c r="A6" t="n">
        <v>1</v>
      </c>
      <c r="B6" s="17">
        <f>IF(A6&lt;=Inputs!$C$10,Inputs!$C$9/Inputs!$C$10,0)</f>
        <v/>
      </c>
      <c r="C6" s="17">
        <f>IF(A6=Inputs!$C$10,Inputs!$C$8*Inputs!$C$6/1e6,0)</f>
        <v/>
      </c>
      <c r="D6" s="17">
        <f>IF(AND(A6&gt;(Inputs!$C$10+Inputs!$C$11),A6&lt;=(Inputs!$C$10+Inputs!$C$11)+Inputs!$C$16),Inputs!$C$17,0)</f>
        <v/>
      </c>
      <c r="E6" s="17">
        <f>IF(AND(A6&gt;(Inputs!$C$10+Inputs!$C$11),A6&lt;=(Inputs!$C$10+Inputs!$C$11)+Inputs!$C$16),Inputs!$C$13*Inputs!$C$14,0)</f>
        <v/>
      </c>
      <c r="F6" s="17">
        <f>IF(AND(A6&gt;(Inputs!$C$10+Inputs!$C$11)+Inputs!$C$12,A6&lt;=(Inputs!$C$10+Inputs!$C$11)+Inputs!$C$12+Inputs!$C$16),Inputs!$C$13*Inputs!$C$14*Inputs!$C$15,0)</f>
        <v/>
      </c>
      <c r="G6" s="17">
        <f>F6*1000*Inputs!$C$7/1e6</f>
        <v/>
      </c>
      <c r="H6" s="17">
        <f>G6-B6-C6-D6</f>
        <v/>
      </c>
      <c r="I6" s="18">
        <f>1/(1+Inputs!$C$18)^A6</f>
        <v/>
      </c>
      <c r="J6" s="17">
        <f>H6*I6</f>
        <v/>
      </c>
      <c r="K6" s="17">
        <f>(B6+C6)*I6</f>
        <v/>
      </c>
      <c r="L6" s="17">
        <f>(G6-D6)*I6</f>
        <v/>
      </c>
      <c r="M6" s="17">
        <f>F6*I6</f>
        <v/>
      </c>
    </row>
    <row r="7">
      <c r="A7" t="n">
        <v>2</v>
      </c>
      <c r="B7" s="17">
        <f>IF(A7&lt;=Inputs!$C$10,Inputs!$C$9/Inputs!$C$10,0)</f>
        <v/>
      </c>
      <c r="C7" s="17">
        <f>IF(A7=Inputs!$C$10,Inputs!$C$8*Inputs!$C$6/1e6,0)</f>
        <v/>
      </c>
      <c r="D7" s="17">
        <f>IF(AND(A7&gt;(Inputs!$C$10+Inputs!$C$11),A7&lt;=(Inputs!$C$10+Inputs!$C$11)+Inputs!$C$16),Inputs!$C$17,0)</f>
        <v/>
      </c>
      <c r="E7" s="17">
        <f>IF(AND(A7&gt;(Inputs!$C$10+Inputs!$C$11),A7&lt;=(Inputs!$C$10+Inputs!$C$11)+Inputs!$C$16),Inputs!$C$13*Inputs!$C$14,0)</f>
        <v/>
      </c>
      <c r="F7" s="17">
        <f>IF(AND(A7&gt;(Inputs!$C$10+Inputs!$C$11)+Inputs!$C$12,A7&lt;=(Inputs!$C$10+Inputs!$C$11)+Inputs!$C$12+Inputs!$C$16),Inputs!$C$13*Inputs!$C$14*Inputs!$C$15,0)</f>
        <v/>
      </c>
      <c r="G7" s="17">
        <f>F7*1000*Inputs!$C$7/1e6</f>
        <v/>
      </c>
      <c r="H7" s="17">
        <f>G7-B7-C7-D7</f>
        <v/>
      </c>
      <c r="I7" s="18">
        <f>1/(1+Inputs!$C$18)^A7</f>
        <v/>
      </c>
      <c r="J7" s="17">
        <f>H7*I7</f>
        <v/>
      </c>
      <c r="K7" s="17">
        <f>(B7+C7)*I7</f>
        <v/>
      </c>
      <c r="L7" s="17">
        <f>(G7-D7)*I7</f>
        <v/>
      </c>
      <c r="M7" s="17">
        <f>F7*I7</f>
        <v/>
      </c>
    </row>
    <row r="8">
      <c r="A8" t="n">
        <v>3</v>
      </c>
      <c r="B8" s="17">
        <f>IF(A8&lt;=Inputs!$C$10,Inputs!$C$9/Inputs!$C$10,0)</f>
        <v/>
      </c>
      <c r="C8" s="17">
        <f>IF(A8=Inputs!$C$10,Inputs!$C$8*Inputs!$C$6/1e6,0)</f>
        <v/>
      </c>
      <c r="D8" s="17">
        <f>IF(AND(A8&gt;(Inputs!$C$10+Inputs!$C$11),A8&lt;=(Inputs!$C$10+Inputs!$C$11)+Inputs!$C$16),Inputs!$C$17,0)</f>
        <v/>
      </c>
      <c r="E8" s="17">
        <f>IF(AND(A8&gt;(Inputs!$C$10+Inputs!$C$11),A8&lt;=(Inputs!$C$10+Inputs!$C$11)+Inputs!$C$16),Inputs!$C$13*Inputs!$C$14,0)</f>
        <v/>
      </c>
      <c r="F8" s="17">
        <f>IF(AND(A8&gt;(Inputs!$C$10+Inputs!$C$11)+Inputs!$C$12,A8&lt;=(Inputs!$C$10+Inputs!$C$11)+Inputs!$C$12+Inputs!$C$16),Inputs!$C$13*Inputs!$C$14*Inputs!$C$15,0)</f>
        <v/>
      </c>
      <c r="G8" s="17">
        <f>F8*1000*Inputs!$C$7/1e6</f>
        <v/>
      </c>
      <c r="H8" s="17">
        <f>G8-B8-C8-D8</f>
        <v/>
      </c>
      <c r="I8" s="18">
        <f>1/(1+Inputs!$C$18)^A8</f>
        <v/>
      </c>
      <c r="J8" s="17">
        <f>H8*I8</f>
        <v/>
      </c>
      <c r="K8" s="17">
        <f>(B8+C8)*I8</f>
        <v/>
      </c>
      <c r="L8" s="17">
        <f>(G8-D8)*I8</f>
        <v/>
      </c>
      <c r="M8" s="17">
        <f>F8*I8</f>
        <v/>
      </c>
    </row>
    <row r="9">
      <c r="A9" t="n">
        <v>4</v>
      </c>
      <c r="B9" s="17">
        <f>IF(A9&lt;=Inputs!$C$10,Inputs!$C$9/Inputs!$C$10,0)</f>
        <v/>
      </c>
      <c r="C9" s="17">
        <f>IF(A9=Inputs!$C$10,Inputs!$C$8*Inputs!$C$6/1e6,0)</f>
        <v/>
      </c>
      <c r="D9" s="17">
        <f>IF(AND(A9&gt;(Inputs!$C$10+Inputs!$C$11),A9&lt;=(Inputs!$C$10+Inputs!$C$11)+Inputs!$C$16),Inputs!$C$17,0)</f>
        <v/>
      </c>
      <c r="E9" s="17">
        <f>IF(AND(A9&gt;(Inputs!$C$10+Inputs!$C$11),A9&lt;=(Inputs!$C$10+Inputs!$C$11)+Inputs!$C$16),Inputs!$C$13*Inputs!$C$14,0)</f>
        <v/>
      </c>
      <c r="F9" s="17">
        <f>IF(AND(A9&gt;(Inputs!$C$10+Inputs!$C$11)+Inputs!$C$12,A9&lt;=(Inputs!$C$10+Inputs!$C$11)+Inputs!$C$12+Inputs!$C$16),Inputs!$C$13*Inputs!$C$14*Inputs!$C$15,0)</f>
        <v/>
      </c>
      <c r="G9" s="17">
        <f>F9*1000*Inputs!$C$7/1e6</f>
        <v/>
      </c>
      <c r="H9" s="17">
        <f>G9-B9-C9-D9</f>
        <v/>
      </c>
      <c r="I9" s="18">
        <f>1/(1+Inputs!$C$18)^A9</f>
        <v/>
      </c>
      <c r="J9" s="17">
        <f>H9*I9</f>
        <v/>
      </c>
      <c r="K9" s="17">
        <f>(B9+C9)*I9</f>
        <v/>
      </c>
      <c r="L9" s="17">
        <f>(G9-D9)*I9</f>
        <v/>
      </c>
      <c r="M9" s="17">
        <f>F9*I9</f>
        <v/>
      </c>
    </row>
    <row r="10">
      <c r="A10" t="n">
        <v>5</v>
      </c>
      <c r="B10" s="17">
        <f>IF(A10&lt;=Inputs!$C$10,Inputs!$C$9/Inputs!$C$10,0)</f>
        <v/>
      </c>
      <c r="C10" s="17">
        <f>IF(A10=Inputs!$C$10,Inputs!$C$8*Inputs!$C$6/1e6,0)</f>
        <v/>
      </c>
      <c r="D10" s="17">
        <f>IF(AND(A10&gt;(Inputs!$C$10+Inputs!$C$11),A10&lt;=(Inputs!$C$10+Inputs!$C$11)+Inputs!$C$16),Inputs!$C$17,0)</f>
        <v/>
      </c>
      <c r="E10" s="17">
        <f>IF(AND(A10&gt;(Inputs!$C$10+Inputs!$C$11),A10&lt;=(Inputs!$C$10+Inputs!$C$11)+Inputs!$C$16),Inputs!$C$13*Inputs!$C$14,0)</f>
        <v/>
      </c>
      <c r="F10" s="17">
        <f>IF(AND(A10&gt;(Inputs!$C$10+Inputs!$C$11)+Inputs!$C$12,A10&lt;=(Inputs!$C$10+Inputs!$C$11)+Inputs!$C$12+Inputs!$C$16),Inputs!$C$13*Inputs!$C$14*Inputs!$C$15,0)</f>
        <v/>
      </c>
      <c r="G10" s="17">
        <f>F10*1000*Inputs!$C$7/1e6</f>
        <v/>
      </c>
      <c r="H10" s="17">
        <f>G10-B10-C10-D10</f>
        <v/>
      </c>
      <c r="I10" s="18">
        <f>1/(1+Inputs!$C$18)^A10</f>
        <v/>
      </c>
      <c r="J10" s="17">
        <f>H10*I10</f>
        <v/>
      </c>
      <c r="K10" s="17">
        <f>(B10+C10)*I10</f>
        <v/>
      </c>
      <c r="L10" s="17">
        <f>(G10-D10)*I10</f>
        <v/>
      </c>
      <c r="M10" s="17">
        <f>F10*I10</f>
        <v/>
      </c>
    </row>
    <row r="11">
      <c r="A11" t="n">
        <v>6</v>
      </c>
      <c r="B11" s="17">
        <f>IF(A11&lt;=Inputs!$C$10,Inputs!$C$9/Inputs!$C$10,0)</f>
        <v/>
      </c>
      <c r="C11" s="17">
        <f>IF(A11=Inputs!$C$10,Inputs!$C$8*Inputs!$C$6/1e6,0)</f>
        <v/>
      </c>
      <c r="D11" s="17">
        <f>IF(AND(A11&gt;(Inputs!$C$10+Inputs!$C$11),A11&lt;=(Inputs!$C$10+Inputs!$C$11)+Inputs!$C$16),Inputs!$C$17,0)</f>
        <v/>
      </c>
      <c r="E11" s="17">
        <f>IF(AND(A11&gt;(Inputs!$C$10+Inputs!$C$11),A11&lt;=(Inputs!$C$10+Inputs!$C$11)+Inputs!$C$16),Inputs!$C$13*Inputs!$C$14,0)</f>
        <v/>
      </c>
      <c r="F11" s="17">
        <f>IF(AND(A11&gt;(Inputs!$C$10+Inputs!$C$11)+Inputs!$C$12,A11&lt;=(Inputs!$C$10+Inputs!$C$11)+Inputs!$C$12+Inputs!$C$16),Inputs!$C$13*Inputs!$C$14*Inputs!$C$15,0)</f>
        <v/>
      </c>
      <c r="G11" s="17">
        <f>F11*1000*Inputs!$C$7/1e6</f>
        <v/>
      </c>
      <c r="H11" s="17">
        <f>G11-B11-C11-D11</f>
        <v/>
      </c>
      <c r="I11" s="18">
        <f>1/(1+Inputs!$C$18)^A11</f>
        <v/>
      </c>
      <c r="J11" s="17">
        <f>H11*I11</f>
        <v/>
      </c>
      <c r="K11" s="17">
        <f>(B11+C11)*I11</f>
        <v/>
      </c>
      <c r="L11" s="17">
        <f>(G11-D11)*I11</f>
        <v/>
      </c>
      <c r="M11" s="17">
        <f>F11*I11</f>
        <v/>
      </c>
    </row>
    <row r="12">
      <c r="A12" t="n">
        <v>7</v>
      </c>
      <c r="B12" s="17">
        <f>IF(A12&lt;=Inputs!$C$10,Inputs!$C$9/Inputs!$C$10,0)</f>
        <v/>
      </c>
      <c r="C12" s="17">
        <f>IF(A12=Inputs!$C$10,Inputs!$C$8*Inputs!$C$6/1e6,0)</f>
        <v/>
      </c>
      <c r="D12" s="17">
        <f>IF(AND(A12&gt;(Inputs!$C$10+Inputs!$C$11),A12&lt;=(Inputs!$C$10+Inputs!$C$11)+Inputs!$C$16),Inputs!$C$17,0)</f>
        <v/>
      </c>
      <c r="E12" s="17">
        <f>IF(AND(A12&gt;(Inputs!$C$10+Inputs!$C$11),A12&lt;=(Inputs!$C$10+Inputs!$C$11)+Inputs!$C$16),Inputs!$C$13*Inputs!$C$14,0)</f>
        <v/>
      </c>
      <c r="F12" s="17">
        <f>IF(AND(A12&gt;(Inputs!$C$10+Inputs!$C$11)+Inputs!$C$12,A12&lt;=(Inputs!$C$10+Inputs!$C$11)+Inputs!$C$12+Inputs!$C$16),Inputs!$C$13*Inputs!$C$14*Inputs!$C$15,0)</f>
        <v/>
      </c>
      <c r="G12" s="17">
        <f>F12*1000*Inputs!$C$7/1e6</f>
        <v/>
      </c>
      <c r="H12" s="17">
        <f>G12-B12-C12-D12</f>
        <v/>
      </c>
      <c r="I12" s="18">
        <f>1/(1+Inputs!$C$18)^A12</f>
        <v/>
      </c>
      <c r="J12" s="17">
        <f>H12*I12</f>
        <v/>
      </c>
      <c r="K12" s="17">
        <f>(B12+C12)*I12</f>
        <v/>
      </c>
      <c r="L12" s="17">
        <f>(G12-D12)*I12</f>
        <v/>
      </c>
      <c r="M12" s="17">
        <f>F12*I12</f>
        <v/>
      </c>
    </row>
    <row r="13">
      <c r="A13" t="n">
        <v>8</v>
      </c>
      <c r="B13" s="17">
        <f>IF(A13&lt;=Inputs!$C$10,Inputs!$C$9/Inputs!$C$10,0)</f>
        <v/>
      </c>
      <c r="C13" s="17">
        <f>IF(A13=Inputs!$C$10,Inputs!$C$8*Inputs!$C$6/1e6,0)</f>
        <v/>
      </c>
      <c r="D13" s="17">
        <f>IF(AND(A13&gt;(Inputs!$C$10+Inputs!$C$11),A13&lt;=(Inputs!$C$10+Inputs!$C$11)+Inputs!$C$16),Inputs!$C$17,0)</f>
        <v/>
      </c>
      <c r="E13" s="17">
        <f>IF(AND(A13&gt;(Inputs!$C$10+Inputs!$C$11),A13&lt;=(Inputs!$C$10+Inputs!$C$11)+Inputs!$C$16),Inputs!$C$13*Inputs!$C$14,0)</f>
        <v/>
      </c>
      <c r="F13" s="17">
        <f>IF(AND(A13&gt;(Inputs!$C$10+Inputs!$C$11)+Inputs!$C$12,A13&lt;=(Inputs!$C$10+Inputs!$C$11)+Inputs!$C$12+Inputs!$C$16),Inputs!$C$13*Inputs!$C$14*Inputs!$C$15,0)</f>
        <v/>
      </c>
      <c r="G13" s="17">
        <f>F13*1000*Inputs!$C$7/1e6</f>
        <v/>
      </c>
      <c r="H13" s="17">
        <f>G13-B13-C13-D13</f>
        <v/>
      </c>
      <c r="I13" s="18">
        <f>1/(1+Inputs!$C$18)^A13</f>
        <v/>
      </c>
      <c r="J13" s="17">
        <f>H13*I13</f>
        <v/>
      </c>
      <c r="K13" s="17">
        <f>(B13+C13)*I13</f>
        <v/>
      </c>
      <c r="L13" s="17">
        <f>(G13-D13)*I13</f>
        <v/>
      </c>
      <c r="M13" s="17">
        <f>F13*I13</f>
        <v/>
      </c>
    </row>
    <row r="14">
      <c r="A14" t="n">
        <v>9</v>
      </c>
      <c r="B14" s="17">
        <f>IF(A14&lt;=Inputs!$C$10,Inputs!$C$9/Inputs!$C$10,0)</f>
        <v/>
      </c>
      <c r="C14" s="17">
        <f>IF(A14=Inputs!$C$10,Inputs!$C$8*Inputs!$C$6/1e6,0)</f>
        <v/>
      </c>
      <c r="D14" s="17">
        <f>IF(AND(A14&gt;(Inputs!$C$10+Inputs!$C$11),A14&lt;=(Inputs!$C$10+Inputs!$C$11)+Inputs!$C$16),Inputs!$C$17,0)</f>
        <v/>
      </c>
      <c r="E14" s="17">
        <f>IF(AND(A14&gt;(Inputs!$C$10+Inputs!$C$11),A14&lt;=(Inputs!$C$10+Inputs!$C$11)+Inputs!$C$16),Inputs!$C$13*Inputs!$C$14,0)</f>
        <v/>
      </c>
      <c r="F14" s="17">
        <f>IF(AND(A14&gt;(Inputs!$C$10+Inputs!$C$11)+Inputs!$C$12,A14&lt;=(Inputs!$C$10+Inputs!$C$11)+Inputs!$C$12+Inputs!$C$16),Inputs!$C$13*Inputs!$C$14*Inputs!$C$15,0)</f>
        <v/>
      </c>
      <c r="G14" s="17">
        <f>F14*1000*Inputs!$C$7/1e6</f>
        <v/>
      </c>
      <c r="H14" s="17">
        <f>G14-B14-C14-D14</f>
        <v/>
      </c>
      <c r="I14" s="18">
        <f>1/(1+Inputs!$C$18)^A14</f>
        <v/>
      </c>
      <c r="J14" s="17">
        <f>H14*I14</f>
        <v/>
      </c>
      <c r="K14" s="17">
        <f>(B14+C14)*I14</f>
        <v/>
      </c>
      <c r="L14" s="17">
        <f>(G14-D14)*I14</f>
        <v/>
      </c>
      <c r="M14" s="17">
        <f>F14*I14</f>
        <v/>
      </c>
    </row>
    <row r="15">
      <c r="A15" t="n">
        <v>10</v>
      </c>
      <c r="B15" s="17">
        <f>IF(A15&lt;=Inputs!$C$10,Inputs!$C$9/Inputs!$C$10,0)</f>
        <v/>
      </c>
      <c r="C15" s="17">
        <f>IF(A15=Inputs!$C$10,Inputs!$C$8*Inputs!$C$6/1e6,0)</f>
        <v/>
      </c>
      <c r="D15" s="17">
        <f>IF(AND(A15&gt;(Inputs!$C$10+Inputs!$C$11),A15&lt;=(Inputs!$C$10+Inputs!$C$11)+Inputs!$C$16),Inputs!$C$17,0)</f>
        <v/>
      </c>
      <c r="E15" s="17">
        <f>IF(AND(A15&gt;(Inputs!$C$10+Inputs!$C$11),A15&lt;=(Inputs!$C$10+Inputs!$C$11)+Inputs!$C$16),Inputs!$C$13*Inputs!$C$14,0)</f>
        <v/>
      </c>
      <c r="F15" s="17">
        <f>IF(AND(A15&gt;(Inputs!$C$10+Inputs!$C$11)+Inputs!$C$12,A15&lt;=(Inputs!$C$10+Inputs!$C$11)+Inputs!$C$12+Inputs!$C$16),Inputs!$C$13*Inputs!$C$14*Inputs!$C$15,0)</f>
        <v/>
      </c>
      <c r="G15" s="17">
        <f>F15*1000*Inputs!$C$7/1e6</f>
        <v/>
      </c>
      <c r="H15" s="17">
        <f>G15-B15-C15-D15</f>
        <v/>
      </c>
      <c r="I15" s="18">
        <f>1/(1+Inputs!$C$18)^A15</f>
        <v/>
      </c>
      <c r="J15" s="17">
        <f>H15*I15</f>
        <v/>
      </c>
      <c r="K15" s="17">
        <f>(B15+C15)*I15</f>
        <v/>
      </c>
      <c r="L15" s="17">
        <f>(G15-D15)*I15</f>
        <v/>
      </c>
      <c r="M15" s="17">
        <f>F15*I15</f>
        <v/>
      </c>
    </row>
    <row r="16">
      <c r="A16" t="n">
        <v>11</v>
      </c>
      <c r="B16" s="17">
        <f>IF(A16&lt;=Inputs!$C$10,Inputs!$C$9/Inputs!$C$10,0)</f>
        <v/>
      </c>
      <c r="C16" s="17">
        <f>IF(A16=Inputs!$C$10,Inputs!$C$8*Inputs!$C$6/1e6,0)</f>
        <v/>
      </c>
      <c r="D16" s="17">
        <f>IF(AND(A16&gt;(Inputs!$C$10+Inputs!$C$11),A16&lt;=(Inputs!$C$10+Inputs!$C$11)+Inputs!$C$16),Inputs!$C$17,0)</f>
        <v/>
      </c>
      <c r="E16" s="17">
        <f>IF(AND(A16&gt;(Inputs!$C$10+Inputs!$C$11),A16&lt;=(Inputs!$C$10+Inputs!$C$11)+Inputs!$C$16),Inputs!$C$13*Inputs!$C$14,0)</f>
        <v/>
      </c>
      <c r="F16" s="17">
        <f>IF(AND(A16&gt;(Inputs!$C$10+Inputs!$C$11)+Inputs!$C$12,A16&lt;=(Inputs!$C$10+Inputs!$C$11)+Inputs!$C$12+Inputs!$C$16),Inputs!$C$13*Inputs!$C$14*Inputs!$C$15,0)</f>
        <v/>
      </c>
      <c r="G16" s="17">
        <f>F16*1000*Inputs!$C$7/1e6</f>
        <v/>
      </c>
      <c r="H16" s="17">
        <f>G16-B16-C16-D16</f>
        <v/>
      </c>
      <c r="I16" s="18">
        <f>1/(1+Inputs!$C$18)^A16</f>
        <v/>
      </c>
      <c r="J16" s="17">
        <f>H16*I16</f>
        <v/>
      </c>
      <c r="K16" s="17">
        <f>(B16+C16)*I16</f>
        <v/>
      </c>
      <c r="L16" s="17">
        <f>(G16-D16)*I16</f>
        <v/>
      </c>
      <c r="M16" s="17">
        <f>F16*I16</f>
        <v/>
      </c>
    </row>
    <row r="17">
      <c r="A17" t="n">
        <v>12</v>
      </c>
      <c r="B17" s="17">
        <f>IF(A17&lt;=Inputs!$C$10,Inputs!$C$9/Inputs!$C$10,0)</f>
        <v/>
      </c>
      <c r="C17" s="17">
        <f>IF(A17=Inputs!$C$10,Inputs!$C$8*Inputs!$C$6/1e6,0)</f>
        <v/>
      </c>
      <c r="D17" s="17">
        <f>IF(AND(A17&gt;(Inputs!$C$10+Inputs!$C$11),A17&lt;=(Inputs!$C$10+Inputs!$C$11)+Inputs!$C$16),Inputs!$C$17,0)</f>
        <v/>
      </c>
      <c r="E17" s="17">
        <f>IF(AND(A17&gt;(Inputs!$C$10+Inputs!$C$11),A17&lt;=(Inputs!$C$10+Inputs!$C$11)+Inputs!$C$16),Inputs!$C$13*Inputs!$C$14,0)</f>
        <v/>
      </c>
      <c r="F17" s="17">
        <f>IF(AND(A17&gt;(Inputs!$C$10+Inputs!$C$11)+Inputs!$C$12,A17&lt;=(Inputs!$C$10+Inputs!$C$11)+Inputs!$C$12+Inputs!$C$16),Inputs!$C$13*Inputs!$C$14*Inputs!$C$15,0)</f>
        <v/>
      </c>
      <c r="G17" s="17">
        <f>F17*1000*Inputs!$C$7/1e6</f>
        <v/>
      </c>
      <c r="H17" s="17">
        <f>G17-B17-C17-D17</f>
        <v/>
      </c>
      <c r="I17" s="18">
        <f>1/(1+Inputs!$C$18)^A17</f>
        <v/>
      </c>
      <c r="J17" s="17">
        <f>H17*I17</f>
        <v/>
      </c>
      <c r="K17" s="17">
        <f>(B17+C17)*I17</f>
        <v/>
      </c>
      <c r="L17" s="17">
        <f>(G17-D17)*I17</f>
        <v/>
      </c>
      <c r="M17" s="17">
        <f>F17*I17</f>
        <v/>
      </c>
    </row>
    <row r="18">
      <c r="A18" t="n">
        <v>13</v>
      </c>
      <c r="B18" s="17">
        <f>IF(A18&lt;=Inputs!$C$10,Inputs!$C$9/Inputs!$C$10,0)</f>
        <v/>
      </c>
      <c r="C18" s="17">
        <f>IF(A18=Inputs!$C$10,Inputs!$C$8*Inputs!$C$6/1e6,0)</f>
        <v/>
      </c>
      <c r="D18" s="17">
        <f>IF(AND(A18&gt;(Inputs!$C$10+Inputs!$C$11),A18&lt;=(Inputs!$C$10+Inputs!$C$11)+Inputs!$C$16),Inputs!$C$17,0)</f>
        <v/>
      </c>
      <c r="E18" s="17">
        <f>IF(AND(A18&gt;(Inputs!$C$10+Inputs!$C$11),A18&lt;=(Inputs!$C$10+Inputs!$C$11)+Inputs!$C$16),Inputs!$C$13*Inputs!$C$14,0)</f>
        <v/>
      </c>
      <c r="F18" s="17">
        <f>IF(AND(A18&gt;(Inputs!$C$10+Inputs!$C$11)+Inputs!$C$12,A18&lt;=(Inputs!$C$10+Inputs!$C$11)+Inputs!$C$12+Inputs!$C$16),Inputs!$C$13*Inputs!$C$14*Inputs!$C$15,0)</f>
        <v/>
      </c>
      <c r="G18" s="17">
        <f>F18*1000*Inputs!$C$7/1e6</f>
        <v/>
      </c>
      <c r="H18" s="17">
        <f>G18-B18-C18-D18</f>
        <v/>
      </c>
      <c r="I18" s="18">
        <f>1/(1+Inputs!$C$18)^A18</f>
        <v/>
      </c>
      <c r="J18" s="17">
        <f>H18*I18</f>
        <v/>
      </c>
      <c r="K18" s="17">
        <f>(B18+C18)*I18</f>
        <v/>
      </c>
      <c r="L18" s="17">
        <f>(G18-D18)*I18</f>
        <v/>
      </c>
      <c r="M18" s="17">
        <f>F18*I18</f>
        <v/>
      </c>
    </row>
    <row r="19">
      <c r="A19" t="n">
        <v>14</v>
      </c>
      <c r="B19" s="17">
        <f>IF(A19&lt;=Inputs!$C$10,Inputs!$C$9/Inputs!$C$10,0)</f>
        <v/>
      </c>
      <c r="C19" s="17">
        <f>IF(A19=Inputs!$C$10,Inputs!$C$8*Inputs!$C$6/1e6,0)</f>
        <v/>
      </c>
      <c r="D19" s="17">
        <f>IF(AND(A19&gt;(Inputs!$C$10+Inputs!$C$11),A19&lt;=(Inputs!$C$10+Inputs!$C$11)+Inputs!$C$16),Inputs!$C$17,0)</f>
        <v/>
      </c>
      <c r="E19" s="17">
        <f>IF(AND(A19&gt;(Inputs!$C$10+Inputs!$C$11),A19&lt;=(Inputs!$C$10+Inputs!$C$11)+Inputs!$C$16),Inputs!$C$13*Inputs!$C$14,0)</f>
        <v/>
      </c>
      <c r="F19" s="17">
        <f>IF(AND(A19&gt;(Inputs!$C$10+Inputs!$C$11)+Inputs!$C$12,A19&lt;=(Inputs!$C$10+Inputs!$C$11)+Inputs!$C$12+Inputs!$C$16),Inputs!$C$13*Inputs!$C$14*Inputs!$C$15,0)</f>
        <v/>
      </c>
      <c r="G19" s="17">
        <f>F19*1000*Inputs!$C$7/1e6</f>
        <v/>
      </c>
      <c r="H19" s="17">
        <f>G19-B19-C19-D19</f>
        <v/>
      </c>
      <c r="I19" s="18">
        <f>1/(1+Inputs!$C$18)^A19</f>
        <v/>
      </c>
      <c r="J19" s="17">
        <f>H19*I19</f>
        <v/>
      </c>
      <c r="K19" s="17">
        <f>(B19+C19)*I19</f>
        <v/>
      </c>
      <c r="L19" s="17">
        <f>(G19-D19)*I19</f>
        <v/>
      </c>
      <c r="M19" s="17">
        <f>F19*I19</f>
        <v/>
      </c>
    </row>
    <row r="20">
      <c r="A20" t="n">
        <v>15</v>
      </c>
      <c r="B20" s="17">
        <f>IF(A20&lt;=Inputs!$C$10,Inputs!$C$9/Inputs!$C$10,0)</f>
        <v/>
      </c>
      <c r="C20" s="17">
        <f>IF(A20=Inputs!$C$10,Inputs!$C$8*Inputs!$C$6/1e6,0)</f>
        <v/>
      </c>
      <c r="D20" s="17">
        <f>IF(AND(A20&gt;(Inputs!$C$10+Inputs!$C$11),A20&lt;=(Inputs!$C$10+Inputs!$C$11)+Inputs!$C$16),Inputs!$C$17,0)</f>
        <v/>
      </c>
      <c r="E20" s="17">
        <f>IF(AND(A20&gt;(Inputs!$C$10+Inputs!$C$11),A20&lt;=(Inputs!$C$10+Inputs!$C$11)+Inputs!$C$16),Inputs!$C$13*Inputs!$C$14,0)</f>
        <v/>
      </c>
      <c r="F20" s="17">
        <f>IF(AND(A20&gt;(Inputs!$C$10+Inputs!$C$11)+Inputs!$C$12,A20&lt;=(Inputs!$C$10+Inputs!$C$11)+Inputs!$C$12+Inputs!$C$16),Inputs!$C$13*Inputs!$C$14*Inputs!$C$15,0)</f>
        <v/>
      </c>
      <c r="G20" s="17">
        <f>F20*1000*Inputs!$C$7/1e6</f>
        <v/>
      </c>
      <c r="H20" s="17">
        <f>G20-B20-C20-D20</f>
        <v/>
      </c>
      <c r="I20" s="18">
        <f>1/(1+Inputs!$C$18)^A20</f>
        <v/>
      </c>
      <c r="J20" s="17">
        <f>H20*I20</f>
        <v/>
      </c>
      <c r="K20" s="17">
        <f>(B20+C20)*I20</f>
        <v/>
      </c>
      <c r="L20" s="17">
        <f>(G20-D20)*I20</f>
        <v/>
      </c>
      <c r="M20" s="17">
        <f>F20*I20</f>
        <v/>
      </c>
    </row>
    <row r="21">
      <c r="A21" t="n">
        <v>16</v>
      </c>
      <c r="B21" s="17">
        <f>IF(A21&lt;=Inputs!$C$10,Inputs!$C$9/Inputs!$C$10,0)</f>
        <v/>
      </c>
      <c r="C21" s="17">
        <f>IF(A21=Inputs!$C$10,Inputs!$C$8*Inputs!$C$6/1e6,0)</f>
        <v/>
      </c>
      <c r="D21" s="17">
        <f>IF(AND(A21&gt;(Inputs!$C$10+Inputs!$C$11),A21&lt;=(Inputs!$C$10+Inputs!$C$11)+Inputs!$C$16),Inputs!$C$17,0)</f>
        <v/>
      </c>
      <c r="E21" s="17">
        <f>IF(AND(A21&gt;(Inputs!$C$10+Inputs!$C$11),A21&lt;=(Inputs!$C$10+Inputs!$C$11)+Inputs!$C$16),Inputs!$C$13*Inputs!$C$14,0)</f>
        <v/>
      </c>
      <c r="F21" s="17">
        <f>IF(AND(A21&gt;(Inputs!$C$10+Inputs!$C$11)+Inputs!$C$12,A21&lt;=(Inputs!$C$10+Inputs!$C$11)+Inputs!$C$12+Inputs!$C$16),Inputs!$C$13*Inputs!$C$14*Inputs!$C$15,0)</f>
        <v/>
      </c>
      <c r="G21" s="17">
        <f>F21*1000*Inputs!$C$7/1e6</f>
        <v/>
      </c>
      <c r="H21" s="17">
        <f>G21-B21-C21-D21</f>
        <v/>
      </c>
      <c r="I21" s="18">
        <f>1/(1+Inputs!$C$18)^A21</f>
        <v/>
      </c>
      <c r="J21" s="17">
        <f>H21*I21</f>
        <v/>
      </c>
      <c r="K21" s="17">
        <f>(B21+C21)*I21</f>
        <v/>
      </c>
      <c r="L21" s="17">
        <f>(G21-D21)*I21</f>
        <v/>
      </c>
      <c r="M21" s="17">
        <f>F21*I21</f>
        <v/>
      </c>
    </row>
    <row r="22">
      <c r="A22" t="n">
        <v>17</v>
      </c>
      <c r="B22" s="17">
        <f>IF(A22&lt;=Inputs!$C$10,Inputs!$C$9/Inputs!$C$10,0)</f>
        <v/>
      </c>
      <c r="C22" s="17">
        <f>IF(A22=Inputs!$C$10,Inputs!$C$8*Inputs!$C$6/1e6,0)</f>
        <v/>
      </c>
      <c r="D22" s="17">
        <f>IF(AND(A22&gt;(Inputs!$C$10+Inputs!$C$11),A22&lt;=(Inputs!$C$10+Inputs!$C$11)+Inputs!$C$16),Inputs!$C$17,0)</f>
        <v/>
      </c>
      <c r="E22" s="17">
        <f>IF(AND(A22&gt;(Inputs!$C$10+Inputs!$C$11),A22&lt;=(Inputs!$C$10+Inputs!$C$11)+Inputs!$C$16),Inputs!$C$13*Inputs!$C$14,0)</f>
        <v/>
      </c>
      <c r="F22" s="17">
        <f>IF(AND(A22&gt;(Inputs!$C$10+Inputs!$C$11)+Inputs!$C$12,A22&lt;=(Inputs!$C$10+Inputs!$C$11)+Inputs!$C$12+Inputs!$C$16),Inputs!$C$13*Inputs!$C$14*Inputs!$C$15,0)</f>
        <v/>
      </c>
      <c r="G22" s="17">
        <f>F22*1000*Inputs!$C$7/1e6</f>
        <v/>
      </c>
      <c r="H22" s="17">
        <f>G22-B22-C22-D22</f>
        <v/>
      </c>
      <c r="I22" s="18">
        <f>1/(1+Inputs!$C$18)^A22</f>
        <v/>
      </c>
      <c r="J22" s="17">
        <f>H22*I22</f>
        <v/>
      </c>
      <c r="K22" s="17">
        <f>(B22+C22)*I22</f>
        <v/>
      </c>
      <c r="L22" s="17">
        <f>(G22-D22)*I22</f>
        <v/>
      </c>
      <c r="M22" s="17">
        <f>F22*I22</f>
        <v/>
      </c>
    </row>
    <row r="23">
      <c r="A23" t="n">
        <v>18</v>
      </c>
      <c r="B23" s="17">
        <f>IF(A23&lt;=Inputs!$C$10,Inputs!$C$9/Inputs!$C$10,0)</f>
        <v/>
      </c>
      <c r="C23" s="17">
        <f>IF(A23=Inputs!$C$10,Inputs!$C$8*Inputs!$C$6/1e6,0)</f>
        <v/>
      </c>
      <c r="D23" s="17">
        <f>IF(AND(A23&gt;(Inputs!$C$10+Inputs!$C$11),A23&lt;=(Inputs!$C$10+Inputs!$C$11)+Inputs!$C$16),Inputs!$C$17,0)</f>
        <v/>
      </c>
      <c r="E23" s="17">
        <f>IF(AND(A23&gt;(Inputs!$C$10+Inputs!$C$11),A23&lt;=(Inputs!$C$10+Inputs!$C$11)+Inputs!$C$16),Inputs!$C$13*Inputs!$C$14,0)</f>
        <v/>
      </c>
      <c r="F23" s="17">
        <f>IF(AND(A23&gt;(Inputs!$C$10+Inputs!$C$11)+Inputs!$C$12,A23&lt;=(Inputs!$C$10+Inputs!$C$11)+Inputs!$C$12+Inputs!$C$16),Inputs!$C$13*Inputs!$C$14*Inputs!$C$15,0)</f>
        <v/>
      </c>
      <c r="G23" s="17">
        <f>F23*1000*Inputs!$C$7/1e6</f>
        <v/>
      </c>
      <c r="H23" s="17">
        <f>G23-B23-C23-D23</f>
        <v/>
      </c>
      <c r="I23" s="18">
        <f>1/(1+Inputs!$C$18)^A23</f>
        <v/>
      </c>
      <c r="J23" s="17">
        <f>H23*I23</f>
        <v/>
      </c>
      <c r="K23" s="17">
        <f>(B23+C23)*I23</f>
        <v/>
      </c>
      <c r="L23" s="17">
        <f>(G23-D23)*I23</f>
        <v/>
      </c>
      <c r="M23" s="17">
        <f>F23*I23</f>
        <v/>
      </c>
    </row>
    <row r="24">
      <c r="A24" t="n">
        <v>19</v>
      </c>
      <c r="B24" s="17">
        <f>IF(A24&lt;=Inputs!$C$10,Inputs!$C$9/Inputs!$C$10,0)</f>
        <v/>
      </c>
      <c r="C24" s="17">
        <f>IF(A24=Inputs!$C$10,Inputs!$C$8*Inputs!$C$6/1e6,0)</f>
        <v/>
      </c>
      <c r="D24" s="17">
        <f>IF(AND(A24&gt;(Inputs!$C$10+Inputs!$C$11),A24&lt;=(Inputs!$C$10+Inputs!$C$11)+Inputs!$C$16),Inputs!$C$17,0)</f>
        <v/>
      </c>
      <c r="E24" s="17">
        <f>IF(AND(A24&gt;(Inputs!$C$10+Inputs!$C$11),A24&lt;=(Inputs!$C$10+Inputs!$C$11)+Inputs!$C$16),Inputs!$C$13*Inputs!$C$14,0)</f>
        <v/>
      </c>
      <c r="F24" s="17">
        <f>IF(AND(A24&gt;(Inputs!$C$10+Inputs!$C$11)+Inputs!$C$12,A24&lt;=(Inputs!$C$10+Inputs!$C$11)+Inputs!$C$12+Inputs!$C$16),Inputs!$C$13*Inputs!$C$14*Inputs!$C$15,0)</f>
        <v/>
      </c>
      <c r="G24" s="17">
        <f>F24*1000*Inputs!$C$7/1e6</f>
        <v/>
      </c>
      <c r="H24" s="17">
        <f>G24-B24-C24-D24</f>
        <v/>
      </c>
      <c r="I24" s="18">
        <f>1/(1+Inputs!$C$18)^A24</f>
        <v/>
      </c>
      <c r="J24" s="17">
        <f>H24*I24</f>
        <v/>
      </c>
      <c r="K24" s="17">
        <f>(B24+C24)*I24</f>
        <v/>
      </c>
      <c r="L24" s="17">
        <f>(G24-D24)*I24</f>
        <v/>
      </c>
      <c r="M24" s="17">
        <f>F24*I24</f>
        <v/>
      </c>
    </row>
    <row r="25">
      <c r="A25" t="n">
        <v>20</v>
      </c>
      <c r="B25" s="17">
        <f>IF(A25&lt;=Inputs!$C$10,Inputs!$C$9/Inputs!$C$10,0)</f>
        <v/>
      </c>
      <c r="C25" s="17">
        <f>IF(A25=Inputs!$C$10,Inputs!$C$8*Inputs!$C$6/1e6,0)</f>
        <v/>
      </c>
      <c r="D25" s="17">
        <f>IF(AND(A25&gt;(Inputs!$C$10+Inputs!$C$11),A25&lt;=(Inputs!$C$10+Inputs!$C$11)+Inputs!$C$16),Inputs!$C$17,0)</f>
        <v/>
      </c>
      <c r="E25" s="17">
        <f>IF(AND(A25&gt;(Inputs!$C$10+Inputs!$C$11),A25&lt;=(Inputs!$C$10+Inputs!$C$11)+Inputs!$C$16),Inputs!$C$13*Inputs!$C$14,0)</f>
        <v/>
      </c>
      <c r="F25" s="17">
        <f>IF(AND(A25&gt;(Inputs!$C$10+Inputs!$C$11)+Inputs!$C$12,A25&lt;=(Inputs!$C$10+Inputs!$C$11)+Inputs!$C$12+Inputs!$C$16),Inputs!$C$13*Inputs!$C$14*Inputs!$C$15,0)</f>
        <v/>
      </c>
      <c r="G25" s="17">
        <f>F25*1000*Inputs!$C$7/1e6</f>
        <v/>
      </c>
      <c r="H25" s="17">
        <f>G25-B25-C25-D25</f>
        <v/>
      </c>
      <c r="I25" s="18">
        <f>1/(1+Inputs!$C$18)^A25</f>
        <v/>
      </c>
      <c r="J25" s="17">
        <f>H25*I25</f>
        <v/>
      </c>
      <c r="K25" s="17">
        <f>(B25+C25)*I25</f>
        <v/>
      </c>
      <c r="L25" s="17">
        <f>(G25-D25)*I25</f>
        <v/>
      </c>
      <c r="M25" s="17">
        <f>F25*I25</f>
        <v/>
      </c>
    </row>
    <row r="26">
      <c r="A26" t="n">
        <v>21</v>
      </c>
      <c r="B26" s="17">
        <f>IF(A26&lt;=Inputs!$C$10,Inputs!$C$9/Inputs!$C$10,0)</f>
        <v/>
      </c>
      <c r="C26" s="17">
        <f>IF(A26=Inputs!$C$10,Inputs!$C$8*Inputs!$C$6/1e6,0)</f>
        <v/>
      </c>
      <c r="D26" s="17">
        <f>IF(AND(A26&gt;(Inputs!$C$10+Inputs!$C$11),A26&lt;=(Inputs!$C$10+Inputs!$C$11)+Inputs!$C$16),Inputs!$C$17,0)</f>
        <v/>
      </c>
      <c r="E26" s="17">
        <f>IF(AND(A26&gt;(Inputs!$C$10+Inputs!$C$11),A26&lt;=(Inputs!$C$10+Inputs!$C$11)+Inputs!$C$16),Inputs!$C$13*Inputs!$C$14,0)</f>
        <v/>
      </c>
      <c r="F26" s="17">
        <f>IF(AND(A26&gt;(Inputs!$C$10+Inputs!$C$11)+Inputs!$C$12,A26&lt;=(Inputs!$C$10+Inputs!$C$11)+Inputs!$C$12+Inputs!$C$16),Inputs!$C$13*Inputs!$C$14*Inputs!$C$15,0)</f>
        <v/>
      </c>
      <c r="G26" s="17">
        <f>F26*1000*Inputs!$C$7/1e6</f>
        <v/>
      </c>
      <c r="H26" s="17">
        <f>G26-B26-C26-D26</f>
        <v/>
      </c>
      <c r="I26" s="18">
        <f>1/(1+Inputs!$C$18)^A26</f>
        <v/>
      </c>
      <c r="J26" s="17">
        <f>H26*I26</f>
        <v/>
      </c>
      <c r="K26" s="17">
        <f>(B26+C26)*I26</f>
        <v/>
      </c>
      <c r="L26" s="17">
        <f>(G26-D26)*I26</f>
        <v/>
      </c>
      <c r="M26" s="17">
        <f>F26*I26</f>
        <v/>
      </c>
    </row>
    <row r="27">
      <c r="A27" t="n">
        <v>22</v>
      </c>
      <c r="B27" s="17">
        <f>IF(A27&lt;=Inputs!$C$10,Inputs!$C$9/Inputs!$C$10,0)</f>
        <v/>
      </c>
      <c r="C27" s="17">
        <f>IF(A27=Inputs!$C$10,Inputs!$C$8*Inputs!$C$6/1e6,0)</f>
        <v/>
      </c>
      <c r="D27" s="17">
        <f>IF(AND(A27&gt;(Inputs!$C$10+Inputs!$C$11),A27&lt;=(Inputs!$C$10+Inputs!$C$11)+Inputs!$C$16),Inputs!$C$17,0)</f>
        <v/>
      </c>
      <c r="E27" s="17">
        <f>IF(AND(A27&gt;(Inputs!$C$10+Inputs!$C$11),A27&lt;=(Inputs!$C$10+Inputs!$C$11)+Inputs!$C$16),Inputs!$C$13*Inputs!$C$14,0)</f>
        <v/>
      </c>
      <c r="F27" s="17">
        <f>IF(AND(A27&gt;(Inputs!$C$10+Inputs!$C$11)+Inputs!$C$12,A27&lt;=(Inputs!$C$10+Inputs!$C$11)+Inputs!$C$12+Inputs!$C$16),Inputs!$C$13*Inputs!$C$14*Inputs!$C$15,0)</f>
        <v/>
      </c>
      <c r="G27" s="17">
        <f>F27*1000*Inputs!$C$7/1e6</f>
        <v/>
      </c>
      <c r="H27" s="17">
        <f>G27-B27-C27-D27</f>
        <v/>
      </c>
      <c r="I27" s="18">
        <f>1/(1+Inputs!$C$18)^A27</f>
        <v/>
      </c>
      <c r="J27" s="17">
        <f>H27*I27</f>
        <v/>
      </c>
      <c r="K27" s="17">
        <f>(B27+C27)*I27</f>
        <v/>
      </c>
      <c r="L27" s="17">
        <f>(G27-D27)*I27</f>
        <v/>
      </c>
      <c r="M27" s="17">
        <f>F27*I27</f>
        <v/>
      </c>
    </row>
    <row r="28">
      <c r="A28" t="n">
        <v>23</v>
      </c>
      <c r="B28" s="17">
        <f>IF(A28&lt;=Inputs!$C$10,Inputs!$C$9/Inputs!$C$10,0)</f>
        <v/>
      </c>
      <c r="C28" s="17">
        <f>IF(A28=Inputs!$C$10,Inputs!$C$8*Inputs!$C$6/1e6,0)</f>
        <v/>
      </c>
      <c r="D28" s="17">
        <f>IF(AND(A28&gt;(Inputs!$C$10+Inputs!$C$11),A28&lt;=(Inputs!$C$10+Inputs!$C$11)+Inputs!$C$16),Inputs!$C$17,0)</f>
        <v/>
      </c>
      <c r="E28" s="17">
        <f>IF(AND(A28&gt;(Inputs!$C$10+Inputs!$C$11),A28&lt;=(Inputs!$C$10+Inputs!$C$11)+Inputs!$C$16),Inputs!$C$13*Inputs!$C$14,0)</f>
        <v/>
      </c>
      <c r="F28" s="17">
        <f>IF(AND(A28&gt;(Inputs!$C$10+Inputs!$C$11)+Inputs!$C$12,A28&lt;=(Inputs!$C$10+Inputs!$C$11)+Inputs!$C$12+Inputs!$C$16),Inputs!$C$13*Inputs!$C$14*Inputs!$C$15,0)</f>
        <v/>
      </c>
      <c r="G28" s="17">
        <f>F28*1000*Inputs!$C$7/1e6</f>
        <v/>
      </c>
      <c r="H28" s="17">
        <f>G28-B28-C28-D28</f>
        <v/>
      </c>
      <c r="I28" s="18">
        <f>1/(1+Inputs!$C$18)^A28</f>
        <v/>
      </c>
      <c r="J28" s="17">
        <f>H28*I28</f>
        <v/>
      </c>
      <c r="K28" s="17">
        <f>(B28+C28)*I28</f>
        <v/>
      </c>
      <c r="L28" s="17">
        <f>(G28-D28)*I28</f>
        <v/>
      </c>
      <c r="M28" s="17">
        <f>F28*I28</f>
        <v/>
      </c>
    </row>
    <row r="29">
      <c r="A29" t="n">
        <v>24</v>
      </c>
      <c r="B29" s="17">
        <f>IF(A29&lt;=Inputs!$C$10,Inputs!$C$9/Inputs!$C$10,0)</f>
        <v/>
      </c>
      <c r="C29" s="17">
        <f>IF(A29=Inputs!$C$10,Inputs!$C$8*Inputs!$C$6/1e6,0)</f>
        <v/>
      </c>
      <c r="D29" s="17">
        <f>IF(AND(A29&gt;(Inputs!$C$10+Inputs!$C$11),A29&lt;=(Inputs!$C$10+Inputs!$C$11)+Inputs!$C$16),Inputs!$C$17,0)</f>
        <v/>
      </c>
      <c r="E29" s="17">
        <f>IF(AND(A29&gt;(Inputs!$C$10+Inputs!$C$11),A29&lt;=(Inputs!$C$10+Inputs!$C$11)+Inputs!$C$16),Inputs!$C$13*Inputs!$C$14,0)</f>
        <v/>
      </c>
      <c r="F29" s="17">
        <f>IF(AND(A29&gt;(Inputs!$C$10+Inputs!$C$11)+Inputs!$C$12,A29&lt;=(Inputs!$C$10+Inputs!$C$11)+Inputs!$C$12+Inputs!$C$16),Inputs!$C$13*Inputs!$C$14*Inputs!$C$15,0)</f>
        <v/>
      </c>
      <c r="G29" s="17">
        <f>F29*1000*Inputs!$C$7/1e6</f>
        <v/>
      </c>
      <c r="H29" s="17">
        <f>G29-B29-C29-D29</f>
        <v/>
      </c>
      <c r="I29" s="18">
        <f>1/(1+Inputs!$C$18)^A29</f>
        <v/>
      </c>
      <c r="J29" s="17">
        <f>H29*I29</f>
        <v/>
      </c>
      <c r="K29" s="17">
        <f>(B29+C29)*I29</f>
        <v/>
      </c>
      <c r="L29" s="17">
        <f>(G29-D29)*I29</f>
        <v/>
      </c>
      <c r="M29" s="17">
        <f>F29*I29</f>
        <v/>
      </c>
    </row>
    <row r="30">
      <c r="A30" t="n">
        <v>25</v>
      </c>
      <c r="B30" s="17">
        <f>IF(A30&lt;=Inputs!$C$10,Inputs!$C$9/Inputs!$C$10,0)</f>
        <v/>
      </c>
      <c r="C30" s="17">
        <f>IF(A30=Inputs!$C$10,Inputs!$C$8*Inputs!$C$6/1e6,0)</f>
        <v/>
      </c>
      <c r="D30" s="17">
        <f>IF(AND(A30&gt;(Inputs!$C$10+Inputs!$C$11),A30&lt;=(Inputs!$C$10+Inputs!$C$11)+Inputs!$C$16),Inputs!$C$17,0)</f>
        <v/>
      </c>
      <c r="E30" s="17">
        <f>IF(AND(A30&gt;(Inputs!$C$10+Inputs!$C$11),A30&lt;=(Inputs!$C$10+Inputs!$C$11)+Inputs!$C$16),Inputs!$C$13*Inputs!$C$14,0)</f>
        <v/>
      </c>
      <c r="F30" s="17">
        <f>IF(AND(A30&gt;(Inputs!$C$10+Inputs!$C$11)+Inputs!$C$12,A30&lt;=(Inputs!$C$10+Inputs!$C$11)+Inputs!$C$12+Inputs!$C$16),Inputs!$C$13*Inputs!$C$14*Inputs!$C$15,0)</f>
        <v/>
      </c>
      <c r="G30" s="17">
        <f>F30*1000*Inputs!$C$7/1e6</f>
        <v/>
      </c>
      <c r="H30" s="17">
        <f>G30-B30-C30-D30</f>
        <v/>
      </c>
      <c r="I30" s="18">
        <f>1/(1+Inputs!$C$18)^A30</f>
        <v/>
      </c>
      <c r="J30" s="17">
        <f>H30*I30</f>
        <v/>
      </c>
      <c r="K30" s="17">
        <f>(B30+C30)*I30</f>
        <v/>
      </c>
      <c r="L30" s="17">
        <f>(G30-D30)*I30</f>
        <v/>
      </c>
      <c r="M30" s="17">
        <f>F30*I30</f>
        <v/>
      </c>
    </row>
    <row r="31">
      <c r="A31" t="n">
        <v>26</v>
      </c>
      <c r="B31" s="17">
        <f>IF(A31&lt;=Inputs!$C$10,Inputs!$C$9/Inputs!$C$10,0)</f>
        <v/>
      </c>
      <c r="C31" s="17">
        <f>IF(A31=Inputs!$C$10,Inputs!$C$8*Inputs!$C$6/1e6,0)</f>
        <v/>
      </c>
      <c r="D31" s="17">
        <f>IF(AND(A31&gt;(Inputs!$C$10+Inputs!$C$11),A31&lt;=(Inputs!$C$10+Inputs!$C$11)+Inputs!$C$16),Inputs!$C$17,0)</f>
        <v/>
      </c>
      <c r="E31" s="17">
        <f>IF(AND(A31&gt;(Inputs!$C$10+Inputs!$C$11),A31&lt;=(Inputs!$C$10+Inputs!$C$11)+Inputs!$C$16),Inputs!$C$13*Inputs!$C$14,0)</f>
        <v/>
      </c>
      <c r="F31" s="17">
        <f>IF(AND(A31&gt;(Inputs!$C$10+Inputs!$C$11)+Inputs!$C$12,A31&lt;=(Inputs!$C$10+Inputs!$C$11)+Inputs!$C$12+Inputs!$C$16),Inputs!$C$13*Inputs!$C$14*Inputs!$C$15,0)</f>
        <v/>
      </c>
      <c r="G31" s="17">
        <f>F31*1000*Inputs!$C$7/1e6</f>
        <v/>
      </c>
      <c r="H31" s="17">
        <f>G31-B31-C31-D31</f>
        <v/>
      </c>
      <c r="I31" s="18">
        <f>1/(1+Inputs!$C$18)^A31</f>
        <v/>
      </c>
      <c r="J31" s="17">
        <f>H31*I31</f>
        <v/>
      </c>
      <c r="K31" s="17">
        <f>(B31+C31)*I31</f>
        <v/>
      </c>
      <c r="L31" s="17">
        <f>(G31-D31)*I31</f>
        <v/>
      </c>
      <c r="M31" s="17">
        <f>F31*I31</f>
        <v/>
      </c>
    </row>
    <row r="32">
      <c r="A32" t="n">
        <v>27</v>
      </c>
      <c r="B32" s="17">
        <f>IF(A32&lt;=Inputs!$C$10,Inputs!$C$9/Inputs!$C$10,0)</f>
        <v/>
      </c>
      <c r="C32" s="17">
        <f>IF(A32=Inputs!$C$10,Inputs!$C$8*Inputs!$C$6/1e6,0)</f>
        <v/>
      </c>
      <c r="D32" s="17">
        <f>IF(AND(A32&gt;(Inputs!$C$10+Inputs!$C$11),A32&lt;=(Inputs!$C$10+Inputs!$C$11)+Inputs!$C$16),Inputs!$C$17,0)</f>
        <v/>
      </c>
      <c r="E32" s="17">
        <f>IF(AND(A32&gt;(Inputs!$C$10+Inputs!$C$11),A32&lt;=(Inputs!$C$10+Inputs!$C$11)+Inputs!$C$16),Inputs!$C$13*Inputs!$C$14,0)</f>
        <v/>
      </c>
      <c r="F32" s="17">
        <f>IF(AND(A32&gt;(Inputs!$C$10+Inputs!$C$11)+Inputs!$C$12,A32&lt;=(Inputs!$C$10+Inputs!$C$11)+Inputs!$C$12+Inputs!$C$16),Inputs!$C$13*Inputs!$C$14*Inputs!$C$15,0)</f>
        <v/>
      </c>
      <c r="G32" s="17">
        <f>F32*1000*Inputs!$C$7/1e6</f>
        <v/>
      </c>
      <c r="H32" s="17">
        <f>G32-B32-C32-D32</f>
        <v/>
      </c>
      <c r="I32" s="18">
        <f>1/(1+Inputs!$C$18)^A32</f>
        <v/>
      </c>
      <c r="J32" s="17">
        <f>H32*I32</f>
        <v/>
      </c>
      <c r="K32" s="17">
        <f>(B32+C32)*I32</f>
        <v/>
      </c>
      <c r="L32" s="17">
        <f>(G32-D32)*I32</f>
        <v/>
      </c>
      <c r="M32" s="17">
        <f>F32*I32</f>
        <v/>
      </c>
    </row>
    <row r="33">
      <c r="A33" t="n">
        <v>28</v>
      </c>
      <c r="B33" s="17">
        <f>IF(A33&lt;=Inputs!$C$10,Inputs!$C$9/Inputs!$C$10,0)</f>
        <v/>
      </c>
      <c r="C33" s="17">
        <f>IF(A33=Inputs!$C$10,Inputs!$C$8*Inputs!$C$6/1e6,0)</f>
        <v/>
      </c>
      <c r="D33" s="17">
        <f>IF(AND(A33&gt;(Inputs!$C$10+Inputs!$C$11),A33&lt;=(Inputs!$C$10+Inputs!$C$11)+Inputs!$C$16),Inputs!$C$17,0)</f>
        <v/>
      </c>
      <c r="E33" s="17">
        <f>IF(AND(A33&gt;(Inputs!$C$10+Inputs!$C$11),A33&lt;=(Inputs!$C$10+Inputs!$C$11)+Inputs!$C$16),Inputs!$C$13*Inputs!$C$14,0)</f>
        <v/>
      </c>
      <c r="F33" s="17">
        <f>IF(AND(A33&gt;(Inputs!$C$10+Inputs!$C$11)+Inputs!$C$12,A33&lt;=(Inputs!$C$10+Inputs!$C$11)+Inputs!$C$12+Inputs!$C$16),Inputs!$C$13*Inputs!$C$14*Inputs!$C$15,0)</f>
        <v/>
      </c>
      <c r="G33" s="17">
        <f>F33*1000*Inputs!$C$7/1e6</f>
        <v/>
      </c>
      <c r="H33" s="17">
        <f>G33-B33-C33-D33</f>
        <v/>
      </c>
      <c r="I33" s="18">
        <f>1/(1+Inputs!$C$18)^A33</f>
        <v/>
      </c>
      <c r="J33" s="17">
        <f>H33*I33</f>
        <v/>
      </c>
      <c r="K33" s="17">
        <f>(B33+C33)*I33</f>
        <v/>
      </c>
      <c r="L33" s="17">
        <f>(G33-D33)*I33</f>
        <v/>
      </c>
      <c r="M33" s="17">
        <f>F33*I33</f>
        <v/>
      </c>
    </row>
    <row r="34">
      <c r="A34" t="n">
        <v>29</v>
      </c>
      <c r="B34" s="17">
        <f>IF(A34&lt;=Inputs!$C$10,Inputs!$C$9/Inputs!$C$10,0)</f>
        <v/>
      </c>
      <c r="C34" s="17">
        <f>IF(A34=Inputs!$C$10,Inputs!$C$8*Inputs!$C$6/1e6,0)</f>
        <v/>
      </c>
      <c r="D34" s="17">
        <f>IF(AND(A34&gt;(Inputs!$C$10+Inputs!$C$11),A34&lt;=(Inputs!$C$10+Inputs!$C$11)+Inputs!$C$16),Inputs!$C$17,0)</f>
        <v/>
      </c>
      <c r="E34" s="17">
        <f>IF(AND(A34&gt;(Inputs!$C$10+Inputs!$C$11),A34&lt;=(Inputs!$C$10+Inputs!$C$11)+Inputs!$C$16),Inputs!$C$13*Inputs!$C$14,0)</f>
        <v/>
      </c>
      <c r="F34" s="17">
        <f>IF(AND(A34&gt;(Inputs!$C$10+Inputs!$C$11)+Inputs!$C$12,A34&lt;=(Inputs!$C$10+Inputs!$C$11)+Inputs!$C$12+Inputs!$C$16),Inputs!$C$13*Inputs!$C$14*Inputs!$C$15,0)</f>
        <v/>
      </c>
      <c r="G34" s="17">
        <f>F34*1000*Inputs!$C$7/1e6</f>
        <v/>
      </c>
      <c r="H34" s="17">
        <f>G34-B34-C34-D34</f>
        <v/>
      </c>
      <c r="I34" s="18">
        <f>1/(1+Inputs!$C$18)^A34</f>
        <v/>
      </c>
      <c r="J34" s="17">
        <f>H34*I34</f>
        <v/>
      </c>
      <c r="K34" s="17">
        <f>(B34+C34)*I34</f>
        <v/>
      </c>
      <c r="L34" s="17">
        <f>(G34-D34)*I34</f>
        <v/>
      </c>
      <c r="M34" s="17">
        <f>F34*I34</f>
        <v/>
      </c>
    </row>
    <row r="35">
      <c r="A35" t="n">
        <v>30</v>
      </c>
      <c r="B35" s="17">
        <f>IF(A35&lt;=Inputs!$C$10,Inputs!$C$9/Inputs!$C$10,0)</f>
        <v/>
      </c>
      <c r="C35" s="17">
        <f>IF(A35=Inputs!$C$10,Inputs!$C$8*Inputs!$C$6/1e6,0)</f>
        <v/>
      </c>
      <c r="D35" s="17">
        <f>IF(AND(A35&gt;(Inputs!$C$10+Inputs!$C$11),A35&lt;=(Inputs!$C$10+Inputs!$C$11)+Inputs!$C$16),Inputs!$C$17,0)</f>
        <v/>
      </c>
      <c r="E35" s="17">
        <f>IF(AND(A35&gt;(Inputs!$C$10+Inputs!$C$11),A35&lt;=(Inputs!$C$10+Inputs!$C$11)+Inputs!$C$16),Inputs!$C$13*Inputs!$C$14,0)</f>
        <v/>
      </c>
      <c r="F35" s="17">
        <f>IF(AND(A35&gt;(Inputs!$C$10+Inputs!$C$11)+Inputs!$C$12,A35&lt;=(Inputs!$C$10+Inputs!$C$11)+Inputs!$C$12+Inputs!$C$16),Inputs!$C$13*Inputs!$C$14*Inputs!$C$15,0)</f>
        <v/>
      </c>
      <c r="G35" s="17">
        <f>F35*1000*Inputs!$C$7/1e6</f>
        <v/>
      </c>
      <c r="H35" s="17">
        <f>G35-B35-C35-D35</f>
        <v/>
      </c>
      <c r="I35" s="18">
        <f>1/(1+Inputs!$C$18)^A35</f>
        <v/>
      </c>
      <c r="J35" s="17">
        <f>H35*I35</f>
        <v/>
      </c>
      <c r="K35" s="17">
        <f>(B35+C35)*I35</f>
        <v/>
      </c>
      <c r="L35" s="17">
        <f>(G35-D35)*I35</f>
        <v/>
      </c>
      <c r="M35" s="17">
        <f>F35*I35</f>
        <v/>
      </c>
    </row>
    <row r="36">
      <c r="A36" t="n">
        <v>31</v>
      </c>
      <c r="B36" s="17">
        <f>IF(A36&lt;=Inputs!$C$10,Inputs!$C$9/Inputs!$C$10,0)</f>
        <v/>
      </c>
      <c r="C36" s="17">
        <f>IF(A36=Inputs!$C$10,Inputs!$C$8*Inputs!$C$6/1e6,0)</f>
        <v/>
      </c>
      <c r="D36" s="17">
        <f>IF(AND(A36&gt;(Inputs!$C$10+Inputs!$C$11),A36&lt;=(Inputs!$C$10+Inputs!$C$11)+Inputs!$C$16),Inputs!$C$17,0)</f>
        <v/>
      </c>
      <c r="E36" s="17">
        <f>IF(AND(A36&gt;(Inputs!$C$10+Inputs!$C$11),A36&lt;=(Inputs!$C$10+Inputs!$C$11)+Inputs!$C$16),Inputs!$C$13*Inputs!$C$14,0)</f>
        <v/>
      </c>
      <c r="F36" s="17">
        <f>IF(AND(A36&gt;(Inputs!$C$10+Inputs!$C$11)+Inputs!$C$12,A36&lt;=(Inputs!$C$10+Inputs!$C$11)+Inputs!$C$12+Inputs!$C$16),Inputs!$C$13*Inputs!$C$14*Inputs!$C$15,0)</f>
        <v/>
      </c>
      <c r="G36" s="17">
        <f>F36*1000*Inputs!$C$7/1e6</f>
        <v/>
      </c>
      <c r="H36" s="17">
        <f>G36-B36-C36-D36</f>
        <v/>
      </c>
      <c r="I36" s="18">
        <f>1/(1+Inputs!$C$18)^A36</f>
        <v/>
      </c>
      <c r="J36" s="17">
        <f>H36*I36</f>
        <v/>
      </c>
      <c r="K36" s="17">
        <f>(B36+C36)*I36</f>
        <v/>
      </c>
      <c r="L36" s="17">
        <f>(G36-D36)*I36</f>
        <v/>
      </c>
      <c r="M36" s="17">
        <f>F36*I36</f>
        <v/>
      </c>
    </row>
    <row r="37">
      <c r="A37" t="n">
        <v>32</v>
      </c>
      <c r="B37" s="17">
        <f>IF(A37&lt;=Inputs!$C$10,Inputs!$C$9/Inputs!$C$10,0)</f>
        <v/>
      </c>
      <c r="C37" s="17">
        <f>IF(A37=Inputs!$C$10,Inputs!$C$8*Inputs!$C$6/1e6,0)</f>
        <v/>
      </c>
      <c r="D37" s="17">
        <f>IF(AND(A37&gt;(Inputs!$C$10+Inputs!$C$11),A37&lt;=(Inputs!$C$10+Inputs!$C$11)+Inputs!$C$16),Inputs!$C$17,0)</f>
        <v/>
      </c>
      <c r="E37" s="17">
        <f>IF(AND(A37&gt;(Inputs!$C$10+Inputs!$C$11),A37&lt;=(Inputs!$C$10+Inputs!$C$11)+Inputs!$C$16),Inputs!$C$13*Inputs!$C$14,0)</f>
        <v/>
      </c>
      <c r="F37" s="17">
        <f>IF(AND(A37&gt;(Inputs!$C$10+Inputs!$C$11)+Inputs!$C$12,A37&lt;=(Inputs!$C$10+Inputs!$C$11)+Inputs!$C$12+Inputs!$C$16),Inputs!$C$13*Inputs!$C$14*Inputs!$C$15,0)</f>
        <v/>
      </c>
      <c r="G37" s="17">
        <f>F37*1000*Inputs!$C$7/1e6</f>
        <v/>
      </c>
      <c r="H37" s="17">
        <f>G37-B37-C37-D37</f>
        <v/>
      </c>
      <c r="I37" s="18">
        <f>1/(1+Inputs!$C$18)^A37</f>
        <v/>
      </c>
      <c r="J37" s="17">
        <f>H37*I37</f>
        <v/>
      </c>
      <c r="K37" s="17">
        <f>(B37+C37)*I37</f>
        <v/>
      </c>
      <c r="L37" s="17">
        <f>(G37-D37)*I37</f>
        <v/>
      </c>
      <c r="M37" s="17">
        <f>F37*I37</f>
        <v/>
      </c>
    </row>
    <row r="38">
      <c r="A38" t="n">
        <v>33</v>
      </c>
      <c r="B38" s="17">
        <f>IF(A38&lt;=Inputs!$C$10,Inputs!$C$9/Inputs!$C$10,0)</f>
        <v/>
      </c>
      <c r="C38" s="17">
        <f>IF(A38=Inputs!$C$10,Inputs!$C$8*Inputs!$C$6/1e6,0)</f>
        <v/>
      </c>
      <c r="D38" s="17">
        <f>IF(AND(A38&gt;(Inputs!$C$10+Inputs!$C$11),A38&lt;=(Inputs!$C$10+Inputs!$C$11)+Inputs!$C$16),Inputs!$C$17,0)</f>
        <v/>
      </c>
      <c r="E38" s="17">
        <f>IF(AND(A38&gt;(Inputs!$C$10+Inputs!$C$11),A38&lt;=(Inputs!$C$10+Inputs!$C$11)+Inputs!$C$16),Inputs!$C$13*Inputs!$C$14,0)</f>
        <v/>
      </c>
      <c r="F38" s="17">
        <f>IF(AND(A38&gt;(Inputs!$C$10+Inputs!$C$11)+Inputs!$C$12,A38&lt;=(Inputs!$C$10+Inputs!$C$11)+Inputs!$C$12+Inputs!$C$16),Inputs!$C$13*Inputs!$C$14*Inputs!$C$15,0)</f>
        <v/>
      </c>
      <c r="G38" s="17">
        <f>F38*1000*Inputs!$C$7/1e6</f>
        <v/>
      </c>
      <c r="H38" s="17">
        <f>G38-B38-C38-D38</f>
        <v/>
      </c>
      <c r="I38" s="18">
        <f>1/(1+Inputs!$C$18)^A38</f>
        <v/>
      </c>
      <c r="J38" s="17">
        <f>H38*I38</f>
        <v/>
      </c>
      <c r="K38" s="17">
        <f>(B38+C38)*I38</f>
        <v/>
      </c>
      <c r="L38" s="17">
        <f>(G38-D38)*I38</f>
        <v/>
      </c>
      <c r="M38" s="17">
        <f>F38*I38</f>
        <v/>
      </c>
    </row>
    <row r="39">
      <c r="A39" t="n">
        <v>34</v>
      </c>
      <c r="B39" s="17">
        <f>IF(A39&lt;=Inputs!$C$10,Inputs!$C$9/Inputs!$C$10,0)</f>
        <v/>
      </c>
      <c r="C39" s="17">
        <f>IF(A39=Inputs!$C$10,Inputs!$C$8*Inputs!$C$6/1e6,0)</f>
        <v/>
      </c>
      <c r="D39" s="17">
        <f>IF(AND(A39&gt;(Inputs!$C$10+Inputs!$C$11),A39&lt;=(Inputs!$C$10+Inputs!$C$11)+Inputs!$C$16),Inputs!$C$17,0)</f>
        <v/>
      </c>
      <c r="E39" s="17">
        <f>IF(AND(A39&gt;(Inputs!$C$10+Inputs!$C$11),A39&lt;=(Inputs!$C$10+Inputs!$C$11)+Inputs!$C$16),Inputs!$C$13*Inputs!$C$14,0)</f>
        <v/>
      </c>
      <c r="F39" s="17">
        <f>IF(AND(A39&gt;(Inputs!$C$10+Inputs!$C$11)+Inputs!$C$12,A39&lt;=(Inputs!$C$10+Inputs!$C$11)+Inputs!$C$12+Inputs!$C$16),Inputs!$C$13*Inputs!$C$14*Inputs!$C$15,0)</f>
        <v/>
      </c>
      <c r="G39" s="17">
        <f>F39*1000*Inputs!$C$7/1e6</f>
        <v/>
      </c>
      <c r="H39" s="17">
        <f>G39-B39-C39-D39</f>
        <v/>
      </c>
      <c r="I39" s="18">
        <f>1/(1+Inputs!$C$18)^A39</f>
        <v/>
      </c>
      <c r="J39" s="17">
        <f>H39*I39</f>
        <v/>
      </c>
      <c r="K39" s="17">
        <f>(B39+C39)*I39</f>
        <v/>
      </c>
      <c r="L39" s="17">
        <f>(G39-D39)*I39</f>
        <v/>
      </c>
      <c r="M39" s="17">
        <f>F39*I39</f>
        <v/>
      </c>
    </row>
    <row r="40">
      <c r="A40" t="n">
        <v>35</v>
      </c>
      <c r="B40" s="17">
        <f>IF(A40&lt;=Inputs!$C$10,Inputs!$C$9/Inputs!$C$10,0)</f>
        <v/>
      </c>
      <c r="C40" s="17">
        <f>IF(A40=Inputs!$C$10,Inputs!$C$8*Inputs!$C$6/1e6,0)</f>
        <v/>
      </c>
      <c r="D40" s="17">
        <f>IF(AND(A40&gt;(Inputs!$C$10+Inputs!$C$11),A40&lt;=(Inputs!$C$10+Inputs!$C$11)+Inputs!$C$16),Inputs!$C$17,0)</f>
        <v/>
      </c>
      <c r="E40" s="17">
        <f>IF(AND(A40&gt;(Inputs!$C$10+Inputs!$C$11),A40&lt;=(Inputs!$C$10+Inputs!$C$11)+Inputs!$C$16),Inputs!$C$13*Inputs!$C$14,0)</f>
        <v/>
      </c>
      <c r="F40" s="17">
        <f>IF(AND(A40&gt;(Inputs!$C$10+Inputs!$C$11)+Inputs!$C$12,A40&lt;=(Inputs!$C$10+Inputs!$C$11)+Inputs!$C$12+Inputs!$C$16),Inputs!$C$13*Inputs!$C$14*Inputs!$C$15,0)</f>
        <v/>
      </c>
      <c r="G40" s="17">
        <f>F40*1000*Inputs!$C$7/1e6</f>
        <v/>
      </c>
      <c r="H40" s="17">
        <f>G40-B40-C40-D40</f>
        <v/>
      </c>
      <c r="I40" s="18">
        <f>1/(1+Inputs!$C$18)^A40</f>
        <v/>
      </c>
      <c r="J40" s="17">
        <f>H40*I40</f>
        <v/>
      </c>
      <c r="K40" s="17">
        <f>(B40+C40)*I40</f>
        <v/>
      </c>
      <c r="L40" s="17">
        <f>(G40-D40)*I40</f>
        <v/>
      </c>
      <c r="M40" s="17">
        <f>F40*I40</f>
        <v/>
      </c>
    </row>
    <row r="41">
      <c r="A41" t="n">
        <v>36</v>
      </c>
      <c r="B41" s="17">
        <f>IF(A41&lt;=Inputs!$C$10,Inputs!$C$9/Inputs!$C$10,0)</f>
        <v/>
      </c>
      <c r="C41" s="17">
        <f>IF(A41=Inputs!$C$10,Inputs!$C$8*Inputs!$C$6/1e6,0)</f>
        <v/>
      </c>
      <c r="D41" s="17">
        <f>IF(AND(A41&gt;(Inputs!$C$10+Inputs!$C$11),A41&lt;=(Inputs!$C$10+Inputs!$C$11)+Inputs!$C$16),Inputs!$C$17,0)</f>
        <v/>
      </c>
      <c r="E41" s="17">
        <f>IF(AND(A41&gt;(Inputs!$C$10+Inputs!$C$11),A41&lt;=(Inputs!$C$10+Inputs!$C$11)+Inputs!$C$16),Inputs!$C$13*Inputs!$C$14,0)</f>
        <v/>
      </c>
      <c r="F41" s="17">
        <f>IF(AND(A41&gt;(Inputs!$C$10+Inputs!$C$11)+Inputs!$C$12,A41&lt;=(Inputs!$C$10+Inputs!$C$11)+Inputs!$C$12+Inputs!$C$16),Inputs!$C$13*Inputs!$C$14*Inputs!$C$15,0)</f>
        <v/>
      </c>
      <c r="G41" s="17">
        <f>F41*1000*Inputs!$C$7/1e6</f>
        <v/>
      </c>
      <c r="H41" s="17">
        <f>G41-B41-C41-D41</f>
        <v/>
      </c>
      <c r="I41" s="18">
        <f>1/(1+Inputs!$C$18)^A41</f>
        <v/>
      </c>
      <c r="J41" s="17">
        <f>H41*I41</f>
        <v/>
      </c>
      <c r="K41" s="17">
        <f>(B41+C41)*I41</f>
        <v/>
      </c>
      <c r="L41" s="17">
        <f>(G41-D41)*I41</f>
        <v/>
      </c>
      <c r="M41" s="17">
        <f>F41*I41</f>
        <v/>
      </c>
    </row>
    <row r="42">
      <c r="A42" t="n">
        <v>37</v>
      </c>
      <c r="B42" s="17">
        <f>IF(A42&lt;=Inputs!$C$10,Inputs!$C$9/Inputs!$C$10,0)</f>
        <v/>
      </c>
      <c r="C42" s="17">
        <f>IF(A42=Inputs!$C$10,Inputs!$C$8*Inputs!$C$6/1e6,0)</f>
        <v/>
      </c>
      <c r="D42" s="17">
        <f>IF(AND(A42&gt;(Inputs!$C$10+Inputs!$C$11),A42&lt;=(Inputs!$C$10+Inputs!$C$11)+Inputs!$C$16),Inputs!$C$17,0)</f>
        <v/>
      </c>
      <c r="E42" s="17">
        <f>IF(AND(A42&gt;(Inputs!$C$10+Inputs!$C$11),A42&lt;=(Inputs!$C$10+Inputs!$C$11)+Inputs!$C$16),Inputs!$C$13*Inputs!$C$14,0)</f>
        <v/>
      </c>
      <c r="F42" s="17">
        <f>IF(AND(A42&gt;(Inputs!$C$10+Inputs!$C$11)+Inputs!$C$12,A42&lt;=(Inputs!$C$10+Inputs!$C$11)+Inputs!$C$12+Inputs!$C$16),Inputs!$C$13*Inputs!$C$14*Inputs!$C$15,0)</f>
        <v/>
      </c>
      <c r="G42" s="17">
        <f>F42*1000*Inputs!$C$7/1e6</f>
        <v/>
      </c>
      <c r="H42" s="17">
        <f>G42-B42-C42-D42</f>
        <v/>
      </c>
      <c r="I42" s="18">
        <f>1/(1+Inputs!$C$18)^A42</f>
        <v/>
      </c>
      <c r="J42" s="17">
        <f>H42*I42</f>
        <v/>
      </c>
      <c r="K42" s="17">
        <f>(B42+C42)*I42</f>
        <v/>
      </c>
      <c r="L42" s="17">
        <f>(G42-D42)*I42</f>
        <v/>
      </c>
      <c r="M42" s="17">
        <f>F42*I42</f>
        <v/>
      </c>
    </row>
    <row r="43">
      <c r="A43" t="n">
        <v>38</v>
      </c>
      <c r="B43" s="17">
        <f>IF(A43&lt;=Inputs!$C$10,Inputs!$C$9/Inputs!$C$10,0)</f>
        <v/>
      </c>
      <c r="C43" s="17">
        <f>IF(A43=Inputs!$C$10,Inputs!$C$8*Inputs!$C$6/1e6,0)</f>
        <v/>
      </c>
      <c r="D43" s="17">
        <f>IF(AND(A43&gt;(Inputs!$C$10+Inputs!$C$11),A43&lt;=(Inputs!$C$10+Inputs!$C$11)+Inputs!$C$16),Inputs!$C$17,0)</f>
        <v/>
      </c>
      <c r="E43" s="17">
        <f>IF(AND(A43&gt;(Inputs!$C$10+Inputs!$C$11),A43&lt;=(Inputs!$C$10+Inputs!$C$11)+Inputs!$C$16),Inputs!$C$13*Inputs!$C$14,0)</f>
        <v/>
      </c>
      <c r="F43" s="17">
        <f>IF(AND(A43&gt;(Inputs!$C$10+Inputs!$C$11)+Inputs!$C$12,A43&lt;=(Inputs!$C$10+Inputs!$C$11)+Inputs!$C$12+Inputs!$C$16),Inputs!$C$13*Inputs!$C$14*Inputs!$C$15,0)</f>
        <v/>
      </c>
      <c r="G43" s="17">
        <f>F43*1000*Inputs!$C$7/1e6</f>
        <v/>
      </c>
      <c r="H43" s="17">
        <f>G43-B43-C43-D43</f>
        <v/>
      </c>
      <c r="I43" s="18">
        <f>1/(1+Inputs!$C$18)^A43</f>
        <v/>
      </c>
      <c r="J43" s="17">
        <f>H43*I43</f>
        <v/>
      </c>
      <c r="K43" s="17">
        <f>(B43+C43)*I43</f>
        <v/>
      </c>
      <c r="L43" s="17">
        <f>(G43-D43)*I43</f>
        <v/>
      </c>
      <c r="M43" s="17">
        <f>F43*I43</f>
        <v/>
      </c>
    </row>
    <row r="44">
      <c r="A44" t="n">
        <v>39</v>
      </c>
      <c r="B44" s="17">
        <f>IF(A44&lt;=Inputs!$C$10,Inputs!$C$9/Inputs!$C$10,0)</f>
        <v/>
      </c>
      <c r="C44" s="17">
        <f>IF(A44=Inputs!$C$10,Inputs!$C$8*Inputs!$C$6/1e6,0)</f>
        <v/>
      </c>
      <c r="D44" s="17">
        <f>IF(AND(A44&gt;(Inputs!$C$10+Inputs!$C$11),A44&lt;=(Inputs!$C$10+Inputs!$C$11)+Inputs!$C$16),Inputs!$C$17,0)</f>
        <v/>
      </c>
      <c r="E44" s="17">
        <f>IF(AND(A44&gt;(Inputs!$C$10+Inputs!$C$11),A44&lt;=(Inputs!$C$10+Inputs!$C$11)+Inputs!$C$16),Inputs!$C$13*Inputs!$C$14,0)</f>
        <v/>
      </c>
      <c r="F44" s="17">
        <f>IF(AND(A44&gt;(Inputs!$C$10+Inputs!$C$11)+Inputs!$C$12,A44&lt;=(Inputs!$C$10+Inputs!$C$11)+Inputs!$C$12+Inputs!$C$16),Inputs!$C$13*Inputs!$C$14*Inputs!$C$15,0)</f>
        <v/>
      </c>
      <c r="G44" s="17">
        <f>F44*1000*Inputs!$C$7/1e6</f>
        <v/>
      </c>
      <c r="H44" s="17">
        <f>G44-B44-C44-D44</f>
        <v/>
      </c>
      <c r="I44" s="18">
        <f>1/(1+Inputs!$C$18)^A44</f>
        <v/>
      </c>
      <c r="J44" s="17">
        <f>H44*I44</f>
        <v/>
      </c>
      <c r="K44" s="17">
        <f>(B44+C44)*I44</f>
        <v/>
      </c>
      <c r="L44" s="17">
        <f>(G44-D44)*I44</f>
        <v/>
      </c>
      <c r="M44" s="17">
        <f>F44*I44</f>
        <v/>
      </c>
    </row>
    <row r="45">
      <c r="A45" t="n">
        <v>40</v>
      </c>
      <c r="B45" s="17">
        <f>IF(A45&lt;=Inputs!$C$10,Inputs!$C$9/Inputs!$C$10,0)</f>
        <v/>
      </c>
      <c r="C45" s="17">
        <f>IF(A45=Inputs!$C$10,Inputs!$C$8*Inputs!$C$6/1e6,0)</f>
        <v/>
      </c>
      <c r="D45" s="17">
        <f>IF(AND(A45&gt;(Inputs!$C$10+Inputs!$C$11),A45&lt;=(Inputs!$C$10+Inputs!$C$11)+Inputs!$C$16),Inputs!$C$17,0)</f>
        <v/>
      </c>
      <c r="E45" s="17">
        <f>IF(AND(A45&gt;(Inputs!$C$10+Inputs!$C$11),A45&lt;=(Inputs!$C$10+Inputs!$C$11)+Inputs!$C$16),Inputs!$C$13*Inputs!$C$14,0)</f>
        <v/>
      </c>
      <c r="F45" s="17">
        <f>IF(AND(A45&gt;(Inputs!$C$10+Inputs!$C$11)+Inputs!$C$12,A45&lt;=(Inputs!$C$10+Inputs!$C$11)+Inputs!$C$12+Inputs!$C$16),Inputs!$C$13*Inputs!$C$14*Inputs!$C$15,0)</f>
        <v/>
      </c>
      <c r="G45" s="17">
        <f>F45*1000*Inputs!$C$7/1e6</f>
        <v/>
      </c>
      <c r="H45" s="17">
        <f>G45-B45-C45-D45</f>
        <v/>
      </c>
      <c r="I45" s="18">
        <f>1/(1+Inputs!$C$18)^A45</f>
        <v/>
      </c>
      <c r="J45" s="17">
        <f>H45*I45</f>
        <v/>
      </c>
      <c r="K45" s="17">
        <f>(B45+C45)*I45</f>
        <v/>
      </c>
      <c r="L45" s="17">
        <f>(G45-D45)*I45</f>
        <v/>
      </c>
      <c r="M45" s="17">
        <f>F45*I45</f>
        <v/>
      </c>
    </row>
    <row r="47">
      <c r="A47" s="4" t="inlineStr">
        <is>
          <t>NPV ($M)</t>
        </is>
      </c>
      <c r="B47" s="19">
        <f>SUM(J6:J45)</f>
        <v/>
      </c>
    </row>
    <row r="48">
      <c r="A48" s="4" t="inlineStr">
        <is>
          <t>PV capex + launch ($M)</t>
        </is>
      </c>
      <c r="B48" s="19">
        <f>SUM(K6:K45)</f>
        <v/>
      </c>
    </row>
    <row r="49">
      <c r="A49" s="4" t="inlineStr">
        <is>
          <t>PV revenue - opex ($M)</t>
        </is>
      </c>
      <c r="B49" s="19">
        <f>SUM(L6:L45)</f>
        <v/>
      </c>
    </row>
    <row r="50">
      <c r="A50" s="4" t="inlineStr">
        <is>
          <t>Risk-adjusted NPV ($M)</t>
        </is>
      </c>
      <c r="B50" s="19">
        <f>-B48+Inputs!$C$19*B49</f>
        <v/>
      </c>
    </row>
    <row r="51">
      <c r="A51" s="4" t="inlineStr">
        <is>
          <t>Total metal delivered (t)</t>
        </is>
      </c>
      <c r="B51" s="19">
        <f>SUM(F6:F45)</f>
        <v/>
      </c>
    </row>
    <row r="52">
      <c r="A52" s="4" t="inlineStr">
        <is>
          <t>First delivery year</t>
        </is>
      </c>
      <c r="B52" s="19">
        <f>IFERROR(INDEX(A6:A45,MATCH(TRUE,INDEX(F6:F45&gt;0,0),0)),"none")</f>
        <v/>
      </c>
    </row>
    <row r="53">
      <c r="A53" s="4" t="inlineStr">
        <is>
          <t>Break-even in-orbit value ($/kg)</t>
        </is>
      </c>
      <c r="B53" s="19">
        <f>IFERROR((B48+SUMPRODUCT(D6:D45,I6:I45))*1e6/(SUM(M6:M45)*1000),"n/a")</f>
        <v/>
      </c>
    </row>
    <row r="54">
      <c r="A54" s="4" t="inlineStr">
        <is>
          <t>Break-even value / launch cost (x)</t>
        </is>
      </c>
      <c r="B54" s="19">
        <f>IFERROR(B53/Inputs!$C$6,"n/a")</f>
        <v/>
      </c>
    </row>
    <row r="55">
      <c r="A55" s="4" t="inlineStr">
        <is>
          <t>Undiscounted cumulative cash ($M)</t>
        </is>
      </c>
      <c r="B55" s="19">
        <f>SUM(H6:H45)</f>
        <v/>
      </c>
    </row>
    <row r="57">
      <c r="A57" s="20" t="inlineStr">
        <is>
          <t>Illustrative scenario output driven entirely by user assumptions on the Inputs sheet. Not a valuation of any company or asset.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7"/>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Base scenario — annual cash flow (illustrative)</t>
        </is>
      </c>
    </row>
    <row r="2">
      <c r="A2" s="2" t="inlineStr">
        <is>
          <t>All values driven by Inputs!D. Currency: US$ millions unless stated. SCENARIO OUTPUT, NOT A FORECAST.</t>
        </is>
      </c>
    </row>
    <row r="3">
      <c r="A3" s="3" t="inlineStr">
        <is>
          <t>Space Resource Intelligence, published by 10timesIt LLC | 16psyche.space | SAMPLE EDITION — illustrative scenarios driven by user assumptions; not investment advice; outputs are not facts.</t>
        </is>
      </c>
    </row>
    <row r="5">
      <c r="A5" s="6" t="inlineStr">
        <is>
          <t>Year</t>
        </is>
      </c>
      <c r="B5" s="6" t="inlineStr">
        <is>
          <t>Capex ($M)</t>
        </is>
      </c>
      <c r="C5" s="6" t="inlineStr">
        <is>
          <t>Launch ($M)</t>
        </is>
      </c>
      <c r="D5" s="6" t="inlineStr">
        <is>
          <t>Opex ($M)</t>
        </is>
      </c>
      <c r="E5" s="6" t="inlineStr">
        <is>
          <t>Metal shipped (t)</t>
        </is>
      </c>
      <c r="F5" s="6" t="inlineStr">
        <is>
          <t>Metal delivered (t)</t>
        </is>
      </c>
      <c r="G5" s="6" t="inlineStr">
        <is>
          <t>Revenue ($M)</t>
        </is>
      </c>
      <c r="H5" s="6" t="inlineStr">
        <is>
          <t>Net cash flow ($M)</t>
        </is>
      </c>
      <c r="I5" s="6" t="inlineStr">
        <is>
          <t>Discount factor</t>
        </is>
      </c>
      <c r="J5" s="6" t="inlineStr">
        <is>
          <t>PV net ($M)</t>
        </is>
      </c>
      <c r="K5" s="6" t="inlineStr">
        <is>
          <t>PV capex+launch ($M)</t>
        </is>
      </c>
      <c r="L5" s="6" t="inlineStr">
        <is>
          <t>PV revenue-opex ($M)</t>
        </is>
      </c>
      <c r="M5" s="6" t="inlineStr">
        <is>
          <t>PV delivered (t)</t>
        </is>
      </c>
    </row>
    <row r="6">
      <c r="A6" t="n">
        <v>1</v>
      </c>
      <c r="B6" s="17">
        <f>IF(A6&lt;=Inputs!$D$10,Inputs!$D$9/Inputs!$D$10,0)</f>
        <v/>
      </c>
      <c r="C6" s="17">
        <f>IF(A6=Inputs!$D$10,Inputs!$D$8*Inputs!$D$6/1e6,0)</f>
        <v/>
      </c>
      <c r="D6" s="17">
        <f>IF(AND(A6&gt;(Inputs!$D$10+Inputs!$D$11),A6&lt;=(Inputs!$D$10+Inputs!$D$11)+Inputs!$D$16),Inputs!$D$17,0)</f>
        <v/>
      </c>
      <c r="E6" s="17">
        <f>IF(AND(A6&gt;(Inputs!$D$10+Inputs!$D$11),A6&lt;=(Inputs!$D$10+Inputs!$D$11)+Inputs!$D$16),Inputs!$D$13*Inputs!$D$14,0)</f>
        <v/>
      </c>
      <c r="F6" s="17">
        <f>IF(AND(A6&gt;(Inputs!$D$10+Inputs!$D$11)+Inputs!$D$12,A6&lt;=(Inputs!$D$10+Inputs!$D$11)+Inputs!$D$12+Inputs!$D$16),Inputs!$D$13*Inputs!$D$14*Inputs!$D$15,0)</f>
        <v/>
      </c>
      <c r="G6" s="17">
        <f>F6*1000*Inputs!$D$7/1e6</f>
        <v/>
      </c>
      <c r="H6" s="17">
        <f>G6-B6-C6-D6</f>
        <v/>
      </c>
      <c r="I6" s="18">
        <f>1/(1+Inputs!$D$18)^A6</f>
        <v/>
      </c>
      <c r="J6" s="17">
        <f>H6*I6</f>
        <v/>
      </c>
      <c r="K6" s="17">
        <f>(B6+C6)*I6</f>
        <v/>
      </c>
      <c r="L6" s="17">
        <f>(G6-D6)*I6</f>
        <v/>
      </c>
      <c r="M6" s="17">
        <f>F6*I6</f>
        <v/>
      </c>
    </row>
    <row r="7">
      <c r="A7" t="n">
        <v>2</v>
      </c>
      <c r="B7" s="17">
        <f>IF(A7&lt;=Inputs!$D$10,Inputs!$D$9/Inputs!$D$10,0)</f>
        <v/>
      </c>
      <c r="C7" s="17">
        <f>IF(A7=Inputs!$D$10,Inputs!$D$8*Inputs!$D$6/1e6,0)</f>
        <v/>
      </c>
      <c r="D7" s="17">
        <f>IF(AND(A7&gt;(Inputs!$D$10+Inputs!$D$11),A7&lt;=(Inputs!$D$10+Inputs!$D$11)+Inputs!$D$16),Inputs!$D$17,0)</f>
        <v/>
      </c>
      <c r="E7" s="17">
        <f>IF(AND(A7&gt;(Inputs!$D$10+Inputs!$D$11),A7&lt;=(Inputs!$D$10+Inputs!$D$11)+Inputs!$D$16),Inputs!$D$13*Inputs!$D$14,0)</f>
        <v/>
      </c>
      <c r="F7" s="17">
        <f>IF(AND(A7&gt;(Inputs!$D$10+Inputs!$D$11)+Inputs!$D$12,A7&lt;=(Inputs!$D$10+Inputs!$D$11)+Inputs!$D$12+Inputs!$D$16),Inputs!$D$13*Inputs!$D$14*Inputs!$D$15,0)</f>
        <v/>
      </c>
      <c r="G7" s="17">
        <f>F7*1000*Inputs!$D$7/1e6</f>
        <v/>
      </c>
      <c r="H7" s="17">
        <f>G7-B7-C7-D7</f>
        <v/>
      </c>
      <c r="I7" s="18">
        <f>1/(1+Inputs!$D$18)^A7</f>
        <v/>
      </c>
      <c r="J7" s="17">
        <f>H7*I7</f>
        <v/>
      </c>
      <c r="K7" s="17">
        <f>(B7+C7)*I7</f>
        <v/>
      </c>
      <c r="L7" s="17">
        <f>(G7-D7)*I7</f>
        <v/>
      </c>
      <c r="M7" s="17">
        <f>F7*I7</f>
        <v/>
      </c>
    </row>
    <row r="8">
      <c r="A8" t="n">
        <v>3</v>
      </c>
      <c r="B8" s="17">
        <f>IF(A8&lt;=Inputs!$D$10,Inputs!$D$9/Inputs!$D$10,0)</f>
        <v/>
      </c>
      <c r="C8" s="17">
        <f>IF(A8=Inputs!$D$10,Inputs!$D$8*Inputs!$D$6/1e6,0)</f>
        <v/>
      </c>
      <c r="D8" s="17">
        <f>IF(AND(A8&gt;(Inputs!$D$10+Inputs!$D$11),A8&lt;=(Inputs!$D$10+Inputs!$D$11)+Inputs!$D$16),Inputs!$D$17,0)</f>
        <v/>
      </c>
      <c r="E8" s="17">
        <f>IF(AND(A8&gt;(Inputs!$D$10+Inputs!$D$11),A8&lt;=(Inputs!$D$10+Inputs!$D$11)+Inputs!$D$16),Inputs!$D$13*Inputs!$D$14,0)</f>
        <v/>
      </c>
      <c r="F8" s="17">
        <f>IF(AND(A8&gt;(Inputs!$D$10+Inputs!$D$11)+Inputs!$D$12,A8&lt;=(Inputs!$D$10+Inputs!$D$11)+Inputs!$D$12+Inputs!$D$16),Inputs!$D$13*Inputs!$D$14*Inputs!$D$15,0)</f>
        <v/>
      </c>
      <c r="G8" s="17">
        <f>F8*1000*Inputs!$D$7/1e6</f>
        <v/>
      </c>
      <c r="H8" s="17">
        <f>G8-B8-C8-D8</f>
        <v/>
      </c>
      <c r="I8" s="18">
        <f>1/(1+Inputs!$D$18)^A8</f>
        <v/>
      </c>
      <c r="J8" s="17">
        <f>H8*I8</f>
        <v/>
      </c>
      <c r="K8" s="17">
        <f>(B8+C8)*I8</f>
        <v/>
      </c>
      <c r="L8" s="17">
        <f>(G8-D8)*I8</f>
        <v/>
      </c>
      <c r="M8" s="17">
        <f>F8*I8</f>
        <v/>
      </c>
    </row>
    <row r="9">
      <c r="A9" t="n">
        <v>4</v>
      </c>
      <c r="B9" s="17">
        <f>IF(A9&lt;=Inputs!$D$10,Inputs!$D$9/Inputs!$D$10,0)</f>
        <v/>
      </c>
      <c r="C9" s="17">
        <f>IF(A9=Inputs!$D$10,Inputs!$D$8*Inputs!$D$6/1e6,0)</f>
        <v/>
      </c>
      <c r="D9" s="17">
        <f>IF(AND(A9&gt;(Inputs!$D$10+Inputs!$D$11),A9&lt;=(Inputs!$D$10+Inputs!$D$11)+Inputs!$D$16),Inputs!$D$17,0)</f>
        <v/>
      </c>
      <c r="E9" s="17">
        <f>IF(AND(A9&gt;(Inputs!$D$10+Inputs!$D$11),A9&lt;=(Inputs!$D$10+Inputs!$D$11)+Inputs!$D$16),Inputs!$D$13*Inputs!$D$14,0)</f>
        <v/>
      </c>
      <c r="F9" s="17">
        <f>IF(AND(A9&gt;(Inputs!$D$10+Inputs!$D$11)+Inputs!$D$12,A9&lt;=(Inputs!$D$10+Inputs!$D$11)+Inputs!$D$12+Inputs!$D$16),Inputs!$D$13*Inputs!$D$14*Inputs!$D$15,0)</f>
        <v/>
      </c>
      <c r="G9" s="17">
        <f>F9*1000*Inputs!$D$7/1e6</f>
        <v/>
      </c>
      <c r="H9" s="17">
        <f>G9-B9-C9-D9</f>
        <v/>
      </c>
      <c r="I9" s="18">
        <f>1/(1+Inputs!$D$18)^A9</f>
        <v/>
      </c>
      <c r="J9" s="17">
        <f>H9*I9</f>
        <v/>
      </c>
      <c r="K9" s="17">
        <f>(B9+C9)*I9</f>
        <v/>
      </c>
      <c r="L9" s="17">
        <f>(G9-D9)*I9</f>
        <v/>
      </c>
      <c r="M9" s="17">
        <f>F9*I9</f>
        <v/>
      </c>
    </row>
    <row r="10">
      <c r="A10" t="n">
        <v>5</v>
      </c>
      <c r="B10" s="17">
        <f>IF(A10&lt;=Inputs!$D$10,Inputs!$D$9/Inputs!$D$10,0)</f>
        <v/>
      </c>
      <c r="C10" s="17">
        <f>IF(A10=Inputs!$D$10,Inputs!$D$8*Inputs!$D$6/1e6,0)</f>
        <v/>
      </c>
      <c r="D10" s="17">
        <f>IF(AND(A10&gt;(Inputs!$D$10+Inputs!$D$11),A10&lt;=(Inputs!$D$10+Inputs!$D$11)+Inputs!$D$16),Inputs!$D$17,0)</f>
        <v/>
      </c>
      <c r="E10" s="17">
        <f>IF(AND(A10&gt;(Inputs!$D$10+Inputs!$D$11),A10&lt;=(Inputs!$D$10+Inputs!$D$11)+Inputs!$D$16),Inputs!$D$13*Inputs!$D$14,0)</f>
        <v/>
      </c>
      <c r="F10" s="17">
        <f>IF(AND(A10&gt;(Inputs!$D$10+Inputs!$D$11)+Inputs!$D$12,A10&lt;=(Inputs!$D$10+Inputs!$D$11)+Inputs!$D$12+Inputs!$D$16),Inputs!$D$13*Inputs!$D$14*Inputs!$D$15,0)</f>
        <v/>
      </c>
      <c r="G10" s="17">
        <f>F10*1000*Inputs!$D$7/1e6</f>
        <v/>
      </c>
      <c r="H10" s="17">
        <f>G10-B10-C10-D10</f>
        <v/>
      </c>
      <c r="I10" s="18">
        <f>1/(1+Inputs!$D$18)^A10</f>
        <v/>
      </c>
      <c r="J10" s="17">
        <f>H10*I10</f>
        <v/>
      </c>
      <c r="K10" s="17">
        <f>(B10+C10)*I10</f>
        <v/>
      </c>
      <c r="L10" s="17">
        <f>(G10-D10)*I10</f>
        <v/>
      </c>
      <c r="M10" s="17">
        <f>F10*I10</f>
        <v/>
      </c>
    </row>
    <row r="11">
      <c r="A11" t="n">
        <v>6</v>
      </c>
      <c r="B11" s="17">
        <f>IF(A11&lt;=Inputs!$D$10,Inputs!$D$9/Inputs!$D$10,0)</f>
        <v/>
      </c>
      <c r="C11" s="17">
        <f>IF(A11=Inputs!$D$10,Inputs!$D$8*Inputs!$D$6/1e6,0)</f>
        <v/>
      </c>
      <c r="D11" s="17">
        <f>IF(AND(A11&gt;(Inputs!$D$10+Inputs!$D$11),A11&lt;=(Inputs!$D$10+Inputs!$D$11)+Inputs!$D$16),Inputs!$D$17,0)</f>
        <v/>
      </c>
      <c r="E11" s="17">
        <f>IF(AND(A11&gt;(Inputs!$D$10+Inputs!$D$11),A11&lt;=(Inputs!$D$10+Inputs!$D$11)+Inputs!$D$16),Inputs!$D$13*Inputs!$D$14,0)</f>
        <v/>
      </c>
      <c r="F11" s="17">
        <f>IF(AND(A11&gt;(Inputs!$D$10+Inputs!$D$11)+Inputs!$D$12,A11&lt;=(Inputs!$D$10+Inputs!$D$11)+Inputs!$D$12+Inputs!$D$16),Inputs!$D$13*Inputs!$D$14*Inputs!$D$15,0)</f>
        <v/>
      </c>
      <c r="G11" s="17">
        <f>F11*1000*Inputs!$D$7/1e6</f>
        <v/>
      </c>
      <c r="H11" s="17">
        <f>G11-B11-C11-D11</f>
        <v/>
      </c>
      <c r="I11" s="18">
        <f>1/(1+Inputs!$D$18)^A11</f>
        <v/>
      </c>
      <c r="J11" s="17">
        <f>H11*I11</f>
        <v/>
      </c>
      <c r="K11" s="17">
        <f>(B11+C11)*I11</f>
        <v/>
      </c>
      <c r="L11" s="17">
        <f>(G11-D11)*I11</f>
        <v/>
      </c>
      <c r="M11" s="17">
        <f>F11*I11</f>
        <v/>
      </c>
    </row>
    <row r="12">
      <c r="A12" t="n">
        <v>7</v>
      </c>
      <c r="B12" s="17">
        <f>IF(A12&lt;=Inputs!$D$10,Inputs!$D$9/Inputs!$D$10,0)</f>
        <v/>
      </c>
      <c r="C12" s="17">
        <f>IF(A12=Inputs!$D$10,Inputs!$D$8*Inputs!$D$6/1e6,0)</f>
        <v/>
      </c>
      <c r="D12" s="17">
        <f>IF(AND(A12&gt;(Inputs!$D$10+Inputs!$D$11),A12&lt;=(Inputs!$D$10+Inputs!$D$11)+Inputs!$D$16),Inputs!$D$17,0)</f>
        <v/>
      </c>
      <c r="E12" s="17">
        <f>IF(AND(A12&gt;(Inputs!$D$10+Inputs!$D$11),A12&lt;=(Inputs!$D$10+Inputs!$D$11)+Inputs!$D$16),Inputs!$D$13*Inputs!$D$14,0)</f>
        <v/>
      </c>
      <c r="F12" s="17">
        <f>IF(AND(A12&gt;(Inputs!$D$10+Inputs!$D$11)+Inputs!$D$12,A12&lt;=(Inputs!$D$10+Inputs!$D$11)+Inputs!$D$12+Inputs!$D$16),Inputs!$D$13*Inputs!$D$14*Inputs!$D$15,0)</f>
        <v/>
      </c>
      <c r="G12" s="17">
        <f>F12*1000*Inputs!$D$7/1e6</f>
        <v/>
      </c>
      <c r="H12" s="17">
        <f>G12-B12-C12-D12</f>
        <v/>
      </c>
      <c r="I12" s="18">
        <f>1/(1+Inputs!$D$18)^A12</f>
        <v/>
      </c>
      <c r="J12" s="17">
        <f>H12*I12</f>
        <v/>
      </c>
      <c r="K12" s="17">
        <f>(B12+C12)*I12</f>
        <v/>
      </c>
      <c r="L12" s="17">
        <f>(G12-D12)*I12</f>
        <v/>
      </c>
      <c r="M12" s="17">
        <f>F12*I12</f>
        <v/>
      </c>
    </row>
    <row r="13">
      <c r="A13" t="n">
        <v>8</v>
      </c>
      <c r="B13" s="17">
        <f>IF(A13&lt;=Inputs!$D$10,Inputs!$D$9/Inputs!$D$10,0)</f>
        <v/>
      </c>
      <c r="C13" s="17">
        <f>IF(A13=Inputs!$D$10,Inputs!$D$8*Inputs!$D$6/1e6,0)</f>
        <v/>
      </c>
      <c r="D13" s="17">
        <f>IF(AND(A13&gt;(Inputs!$D$10+Inputs!$D$11),A13&lt;=(Inputs!$D$10+Inputs!$D$11)+Inputs!$D$16),Inputs!$D$17,0)</f>
        <v/>
      </c>
      <c r="E13" s="17">
        <f>IF(AND(A13&gt;(Inputs!$D$10+Inputs!$D$11),A13&lt;=(Inputs!$D$10+Inputs!$D$11)+Inputs!$D$16),Inputs!$D$13*Inputs!$D$14,0)</f>
        <v/>
      </c>
      <c r="F13" s="17">
        <f>IF(AND(A13&gt;(Inputs!$D$10+Inputs!$D$11)+Inputs!$D$12,A13&lt;=(Inputs!$D$10+Inputs!$D$11)+Inputs!$D$12+Inputs!$D$16),Inputs!$D$13*Inputs!$D$14*Inputs!$D$15,0)</f>
        <v/>
      </c>
      <c r="G13" s="17">
        <f>F13*1000*Inputs!$D$7/1e6</f>
        <v/>
      </c>
      <c r="H13" s="17">
        <f>G13-B13-C13-D13</f>
        <v/>
      </c>
      <c r="I13" s="18">
        <f>1/(1+Inputs!$D$18)^A13</f>
        <v/>
      </c>
      <c r="J13" s="17">
        <f>H13*I13</f>
        <v/>
      </c>
      <c r="K13" s="17">
        <f>(B13+C13)*I13</f>
        <v/>
      </c>
      <c r="L13" s="17">
        <f>(G13-D13)*I13</f>
        <v/>
      </c>
      <c r="M13" s="17">
        <f>F13*I13</f>
        <v/>
      </c>
    </row>
    <row r="14">
      <c r="A14" t="n">
        <v>9</v>
      </c>
      <c r="B14" s="17">
        <f>IF(A14&lt;=Inputs!$D$10,Inputs!$D$9/Inputs!$D$10,0)</f>
        <v/>
      </c>
      <c r="C14" s="17">
        <f>IF(A14=Inputs!$D$10,Inputs!$D$8*Inputs!$D$6/1e6,0)</f>
        <v/>
      </c>
      <c r="D14" s="17">
        <f>IF(AND(A14&gt;(Inputs!$D$10+Inputs!$D$11),A14&lt;=(Inputs!$D$10+Inputs!$D$11)+Inputs!$D$16),Inputs!$D$17,0)</f>
        <v/>
      </c>
      <c r="E14" s="17">
        <f>IF(AND(A14&gt;(Inputs!$D$10+Inputs!$D$11),A14&lt;=(Inputs!$D$10+Inputs!$D$11)+Inputs!$D$16),Inputs!$D$13*Inputs!$D$14,0)</f>
        <v/>
      </c>
      <c r="F14" s="17">
        <f>IF(AND(A14&gt;(Inputs!$D$10+Inputs!$D$11)+Inputs!$D$12,A14&lt;=(Inputs!$D$10+Inputs!$D$11)+Inputs!$D$12+Inputs!$D$16),Inputs!$D$13*Inputs!$D$14*Inputs!$D$15,0)</f>
        <v/>
      </c>
      <c r="G14" s="17">
        <f>F14*1000*Inputs!$D$7/1e6</f>
        <v/>
      </c>
      <c r="H14" s="17">
        <f>G14-B14-C14-D14</f>
        <v/>
      </c>
      <c r="I14" s="18">
        <f>1/(1+Inputs!$D$18)^A14</f>
        <v/>
      </c>
      <c r="J14" s="17">
        <f>H14*I14</f>
        <v/>
      </c>
      <c r="K14" s="17">
        <f>(B14+C14)*I14</f>
        <v/>
      </c>
      <c r="L14" s="17">
        <f>(G14-D14)*I14</f>
        <v/>
      </c>
      <c r="M14" s="17">
        <f>F14*I14</f>
        <v/>
      </c>
    </row>
    <row r="15">
      <c r="A15" t="n">
        <v>10</v>
      </c>
      <c r="B15" s="17">
        <f>IF(A15&lt;=Inputs!$D$10,Inputs!$D$9/Inputs!$D$10,0)</f>
        <v/>
      </c>
      <c r="C15" s="17">
        <f>IF(A15=Inputs!$D$10,Inputs!$D$8*Inputs!$D$6/1e6,0)</f>
        <v/>
      </c>
      <c r="D15" s="17">
        <f>IF(AND(A15&gt;(Inputs!$D$10+Inputs!$D$11),A15&lt;=(Inputs!$D$10+Inputs!$D$11)+Inputs!$D$16),Inputs!$D$17,0)</f>
        <v/>
      </c>
      <c r="E15" s="17">
        <f>IF(AND(A15&gt;(Inputs!$D$10+Inputs!$D$11),A15&lt;=(Inputs!$D$10+Inputs!$D$11)+Inputs!$D$16),Inputs!$D$13*Inputs!$D$14,0)</f>
        <v/>
      </c>
      <c r="F15" s="17">
        <f>IF(AND(A15&gt;(Inputs!$D$10+Inputs!$D$11)+Inputs!$D$12,A15&lt;=(Inputs!$D$10+Inputs!$D$11)+Inputs!$D$12+Inputs!$D$16),Inputs!$D$13*Inputs!$D$14*Inputs!$D$15,0)</f>
        <v/>
      </c>
      <c r="G15" s="17">
        <f>F15*1000*Inputs!$D$7/1e6</f>
        <v/>
      </c>
      <c r="H15" s="17">
        <f>G15-B15-C15-D15</f>
        <v/>
      </c>
      <c r="I15" s="18">
        <f>1/(1+Inputs!$D$18)^A15</f>
        <v/>
      </c>
      <c r="J15" s="17">
        <f>H15*I15</f>
        <v/>
      </c>
      <c r="K15" s="17">
        <f>(B15+C15)*I15</f>
        <v/>
      </c>
      <c r="L15" s="17">
        <f>(G15-D15)*I15</f>
        <v/>
      </c>
      <c r="M15" s="17">
        <f>F15*I15</f>
        <v/>
      </c>
    </row>
    <row r="16">
      <c r="A16" t="n">
        <v>11</v>
      </c>
      <c r="B16" s="17">
        <f>IF(A16&lt;=Inputs!$D$10,Inputs!$D$9/Inputs!$D$10,0)</f>
        <v/>
      </c>
      <c r="C16" s="17">
        <f>IF(A16=Inputs!$D$10,Inputs!$D$8*Inputs!$D$6/1e6,0)</f>
        <v/>
      </c>
      <c r="D16" s="17">
        <f>IF(AND(A16&gt;(Inputs!$D$10+Inputs!$D$11),A16&lt;=(Inputs!$D$10+Inputs!$D$11)+Inputs!$D$16),Inputs!$D$17,0)</f>
        <v/>
      </c>
      <c r="E16" s="17">
        <f>IF(AND(A16&gt;(Inputs!$D$10+Inputs!$D$11),A16&lt;=(Inputs!$D$10+Inputs!$D$11)+Inputs!$D$16),Inputs!$D$13*Inputs!$D$14,0)</f>
        <v/>
      </c>
      <c r="F16" s="17">
        <f>IF(AND(A16&gt;(Inputs!$D$10+Inputs!$D$11)+Inputs!$D$12,A16&lt;=(Inputs!$D$10+Inputs!$D$11)+Inputs!$D$12+Inputs!$D$16),Inputs!$D$13*Inputs!$D$14*Inputs!$D$15,0)</f>
        <v/>
      </c>
      <c r="G16" s="17">
        <f>F16*1000*Inputs!$D$7/1e6</f>
        <v/>
      </c>
      <c r="H16" s="17">
        <f>G16-B16-C16-D16</f>
        <v/>
      </c>
      <c r="I16" s="18">
        <f>1/(1+Inputs!$D$18)^A16</f>
        <v/>
      </c>
      <c r="J16" s="17">
        <f>H16*I16</f>
        <v/>
      </c>
      <c r="K16" s="17">
        <f>(B16+C16)*I16</f>
        <v/>
      </c>
      <c r="L16" s="17">
        <f>(G16-D16)*I16</f>
        <v/>
      </c>
      <c r="M16" s="17">
        <f>F16*I16</f>
        <v/>
      </c>
    </row>
    <row r="17">
      <c r="A17" t="n">
        <v>12</v>
      </c>
      <c r="B17" s="17">
        <f>IF(A17&lt;=Inputs!$D$10,Inputs!$D$9/Inputs!$D$10,0)</f>
        <v/>
      </c>
      <c r="C17" s="17">
        <f>IF(A17=Inputs!$D$10,Inputs!$D$8*Inputs!$D$6/1e6,0)</f>
        <v/>
      </c>
      <c r="D17" s="17">
        <f>IF(AND(A17&gt;(Inputs!$D$10+Inputs!$D$11),A17&lt;=(Inputs!$D$10+Inputs!$D$11)+Inputs!$D$16),Inputs!$D$17,0)</f>
        <v/>
      </c>
      <c r="E17" s="17">
        <f>IF(AND(A17&gt;(Inputs!$D$10+Inputs!$D$11),A17&lt;=(Inputs!$D$10+Inputs!$D$11)+Inputs!$D$16),Inputs!$D$13*Inputs!$D$14,0)</f>
        <v/>
      </c>
      <c r="F17" s="17">
        <f>IF(AND(A17&gt;(Inputs!$D$10+Inputs!$D$11)+Inputs!$D$12,A17&lt;=(Inputs!$D$10+Inputs!$D$11)+Inputs!$D$12+Inputs!$D$16),Inputs!$D$13*Inputs!$D$14*Inputs!$D$15,0)</f>
        <v/>
      </c>
      <c r="G17" s="17">
        <f>F17*1000*Inputs!$D$7/1e6</f>
        <v/>
      </c>
      <c r="H17" s="17">
        <f>G17-B17-C17-D17</f>
        <v/>
      </c>
      <c r="I17" s="18">
        <f>1/(1+Inputs!$D$18)^A17</f>
        <v/>
      </c>
      <c r="J17" s="17">
        <f>H17*I17</f>
        <v/>
      </c>
      <c r="K17" s="17">
        <f>(B17+C17)*I17</f>
        <v/>
      </c>
      <c r="L17" s="17">
        <f>(G17-D17)*I17</f>
        <v/>
      </c>
      <c r="M17" s="17">
        <f>F17*I17</f>
        <v/>
      </c>
    </row>
    <row r="18">
      <c r="A18" t="n">
        <v>13</v>
      </c>
      <c r="B18" s="17">
        <f>IF(A18&lt;=Inputs!$D$10,Inputs!$D$9/Inputs!$D$10,0)</f>
        <v/>
      </c>
      <c r="C18" s="17">
        <f>IF(A18=Inputs!$D$10,Inputs!$D$8*Inputs!$D$6/1e6,0)</f>
        <v/>
      </c>
      <c r="D18" s="17">
        <f>IF(AND(A18&gt;(Inputs!$D$10+Inputs!$D$11),A18&lt;=(Inputs!$D$10+Inputs!$D$11)+Inputs!$D$16),Inputs!$D$17,0)</f>
        <v/>
      </c>
      <c r="E18" s="17">
        <f>IF(AND(A18&gt;(Inputs!$D$10+Inputs!$D$11),A18&lt;=(Inputs!$D$10+Inputs!$D$11)+Inputs!$D$16),Inputs!$D$13*Inputs!$D$14,0)</f>
        <v/>
      </c>
      <c r="F18" s="17">
        <f>IF(AND(A18&gt;(Inputs!$D$10+Inputs!$D$11)+Inputs!$D$12,A18&lt;=(Inputs!$D$10+Inputs!$D$11)+Inputs!$D$12+Inputs!$D$16),Inputs!$D$13*Inputs!$D$14*Inputs!$D$15,0)</f>
        <v/>
      </c>
      <c r="G18" s="17">
        <f>F18*1000*Inputs!$D$7/1e6</f>
        <v/>
      </c>
      <c r="H18" s="17">
        <f>G18-B18-C18-D18</f>
        <v/>
      </c>
      <c r="I18" s="18">
        <f>1/(1+Inputs!$D$18)^A18</f>
        <v/>
      </c>
      <c r="J18" s="17">
        <f>H18*I18</f>
        <v/>
      </c>
      <c r="K18" s="17">
        <f>(B18+C18)*I18</f>
        <v/>
      </c>
      <c r="L18" s="17">
        <f>(G18-D18)*I18</f>
        <v/>
      </c>
      <c r="M18" s="17">
        <f>F18*I18</f>
        <v/>
      </c>
    </row>
    <row r="19">
      <c r="A19" t="n">
        <v>14</v>
      </c>
      <c r="B19" s="17">
        <f>IF(A19&lt;=Inputs!$D$10,Inputs!$D$9/Inputs!$D$10,0)</f>
        <v/>
      </c>
      <c r="C19" s="17">
        <f>IF(A19=Inputs!$D$10,Inputs!$D$8*Inputs!$D$6/1e6,0)</f>
        <v/>
      </c>
      <c r="D19" s="17">
        <f>IF(AND(A19&gt;(Inputs!$D$10+Inputs!$D$11),A19&lt;=(Inputs!$D$10+Inputs!$D$11)+Inputs!$D$16),Inputs!$D$17,0)</f>
        <v/>
      </c>
      <c r="E19" s="17">
        <f>IF(AND(A19&gt;(Inputs!$D$10+Inputs!$D$11),A19&lt;=(Inputs!$D$10+Inputs!$D$11)+Inputs!$D$16),Inputs!$D$13*Inputs!$D$14,0)</f>
        <v/>
      </c>
      <c r="F19" s="17">
        <f>IF(AND(A19&gt;(Inputs!$D$10+Inputs!$D$11)+Inputs!$D$12,A19&lt;=(Inputs!$D$10+Inputs!$D$11)+Inputs!$D$12+Inputs!$D$16),Inputs!$D$13*Inputs!$D$14*Inputs!$D$15,0)</f>
        <v/>
      </c>
      <c r="G19" s="17">
        <f>F19*1000*Inputs!$D$7/1e6</f>
        <v/>
      </c>
      <c r="H19" s="17">
        <f>G19-B19-C19-D19</f>
        <v/>
      </c>
      <c r="I19" s="18">
        <f>1/(1+Inputs!$D$18)^A19</f>
        <v/>
      </c>
      <c r="J19" s="17">
        <f>H19*I19</f>
        <v/>
      </c>
      <c r="K19" s="17">
        <f>(B19+C19)*I19</f>
        <v/>
      </c>
      <c r="L19" s="17">
        <f>(G19-D19)*I19</f>
        <v/>
      </c>
      <c r="M19" s="17">
        <f>F19*I19</f>
        <v/>
      </c>
    </row>
    <row r="20">
      <c r="A20" t="n">
        <v>15</v>
      </c>
      <c r="B20" s="17">
        <f>IF(A20&lt;=Inputs!$D$10,Inputs!$D$9/Inputs!$D$10,0)</f>
        <v/>
      </c>
      <c r="C20" s="17">
        <f>IF(A20=Inputs!$D$10,Inputs!$D$8*Inputs!$D$6/1e6,0)</f>
        <v/>
      </c>
      <c r="D20" s="17">
        <f>IF(AND(A20&gt;(Inputs!$D$10+Inputs!$D$11),A20&lt;=(Inputs!$D$10+Inputs!$D$11)+Inputs!$D$16),Inputs!$D$17,0)</f>
        <v/>
      </c>
      <c r="E20" s="17">
        <f>IF(AND(A20&gt;(Inputs!$D$10+Inputs!$D$11),A20&lt;=(Inputs!$D$10+Inputs!$D$11)+Inputs!$D$16),Inputs!$D$13*Inputs!$D$14,0)</f>
        <v/>
      </c>
      <c r="F20" s="17">
        <f>IF(AND(A20&gt;(Inputs!$D$10+Inputs!$D$11)+Inputs!$D$12,A20&lt;=(Inputs!$D$10+Inputs!$D$11)+Inputs!$D$12+Inputs!$D$16),Inputs!$D$13*Inputs!$D$14*Inputs!$D$15,0)</f>
        <v/>
      </c>
      <c r="G20" s="17">
        <f>F20*1000*Inputs!$D$7/1e6</f>
        <v/>
      </c>
      <c r="H20" s="17">
        <f>G20-B20-C20-D20</f>
        <v/>
      </c>
      <c r="I20" s="18">
        <f>1/(1+Inputs!$D$18)^A20</f>
        <v/>
      </c>
      <c r="J20" s="17">
        <f>H20*I20</f>
        <v/>
      </c>
      <c r="K20" s="17">
        <f>(B20+C20)*I20</f>
        <v/>
      </c>
      <c r="L20" s="17">
        <f>(G20-D20)*I20</f>
        <v/>
      </c>
      <c r="M20" s="17">
        <f>F20*I20</f>
        <v/>
      </c>
    </row>
    <row r="21">
      <c r="A21" t="n">
        <v>16</v>
      </c>
      <c r="B21" s="17">
        <f>IF(A21&lt;=Inputs!$D$10,Inputs!$D$9/Inputs!$D$10,0)</f>
        <v/>
      </c>
      <c r="C21" s="17">
        <f>IF(A21=Inputs!$D$10,Inputs!$D$8*Inputs!$D$6/1e6,0)</f>
        <v/>
      </c>
      <c r="D21" s="17">
        <f>IF(AND(A21&gt;(Inputs!$D$10+Inputs!$D$11),A21&lt;=(Inputs!$D$10+Inputs!$D$11)+Inputs!$D$16),Inputs!$D$17,0)</f>
        <v/>
      </c>
      <c r="E21" s="17">
        <f>IF(AND(A21&gt;(Inputs!$D$10+Inputs!$D$11),A21&lt;=(Inputs!$D$10+Inputs!$D$11)+Inputs!$D$16),Inputs!$D$13*Inputs!$D$14,0)</f>
        <v/>
      </c>
      <c r="F21" s="17">
        <f>IF(AND(A21&gt;(Inputs!$D$10+Inputs!$D$11)+Inputs!$D$12,A21&lt;=(Inputs!$D$10+Inputs!$D$11)+Inputs!$D$12+Inputs!$D$16),Inputs!$D$13*Inputs!$D$14*Inputs!$D$15,0)</f>
        <v/>
      </c>
      <c r="G21" s="17">
        <f>F21*1000*Inputs!$D$7/1e6</f>
        <v/>
      </c>
      <c r="H21" s="17">
        <f>G21-B21-C21-D21</f>
        <v/>
      </c>
      <c r="I21" s="18">
        <f>1/(1+Inputs!$D$18)^A21</f>
        <v/>
      </c>
      <c r="J21" s="17">
        <f>H21*I21</f>
        <v/>
      </c>
      <c r="K21" s="17">
        <f>(B21+C21)*I21</f>
        <v/>
      </c>
      <c r="L21" s="17">
        <f>(G21-D21)*I21</f>
        <v/>
      </c>
      <c r="M21" s="17">
        <f>F21*I21</f>
        <v/>
      </c>
    </row>
    <row r="22">
      <c r="A22" t="n">
        <v>17</v>
      </c>
      <c r="B22" s="17">
        <f>IF(A22&lt;=Inputs!$D$10,Inputs!$D$9/Inputs!$D$10,0)</f>
        <v/>
      </c>
      <c r="C22" s="17">
        <f>IF(A22=Inputs!$D$10,Inputs!$D$8*Inputs!$D$6/1e6,0)</f>
        <v/>
      </c>
      <c r="D22" s="17">
        <f>IF(AND(A22&gt;(Inputs!$D$10+Inputs!$D$11),A22&lt;=(Inputs!$D$10+Inputs!$D$11)+Inputs!$D$16),Inputs!$D$17,0)</f>
        <v/>
      </c>
      <c r="E22" s="17">
        <f>IF(AND(A22&gt;(Inputs!$D$10+Inputs!$D$11),A22&lt;=(Inputs!$D$10+Inputs!$D$11)+Inputs!$D$16),Inputs!$D$13*Inputs!$D$14,0)</f>
        <v/>
      </c>
      <c r="F22" s="17">
        <f>IF(AND(A22&gt;(Inputs!$D$10+Inputs!$D$11)+Inputs!$D$12,A22&lt;=(Inputs!$D$10+Inputs!$D$11)+Inputs!$D$12+Inputs!$D$16),Inputs!$D$13*Inputs!$D$14*Inputs!$D$15,0)</f>
        <v/>
      </c>
      <c r="G22" s="17">
        <f>F22*1000*Inputs!$D$7/1e6</f>
        <v/>
      </c>
      <c r="H22" s="17">
        <f>G22-B22-C22-D22</f>
        <v/>
      </c>
      <c r="I22" s="18">
        <f>1/(1+Inputs!$D$18)^A22</f>
        <v/>
      </c>
      <c r="J22" s="17">
        <f>H22*I22</f>
        <v/>
      </c>
      <c r="K22" s="17">
        <f>(B22+C22)*I22</f>
        <v/>
      </c>
      <c r="L22" s="17">
        <f>(G22-D22)*I22</f>
        <v/>
      </c>
      <c r="M22" s="17">
        <f>F22*I22</f>
        <v/>
      </c>
    </row>
    <row r="23">
      <c r="A23" t="n">
        <v>18</v>
      </c>
      <c r="B23" s="17">
        <f>IF(A23&lt;=Inputs!$D$10,Inputs!$D$9/Inputs!$D$10,0)</f>
        <v/>
      </c>
      <c r="C23" s="17">
        <f>IF(A23=Inputs!$D$10,Inputs!$D$8*Inputs!$D$6/1e6,0)</f>
        <v/>
      </c>
      <c r="D23" s="17">
        <f>IF(AND(A23&gt;(Inputs!$D$10+Inputs!$D$11),A23&lt;=(Inputs!$D$10+Inputs!$D$11)+Inputs!$D$16),Inputs!$D$17,0)</f>
        <v/>
      </c>
      <c r="E23" s="17">
        <f>IF(AND(A23&gt;(Inputs!$D$10+Inputs!$D$11),A23&lt;=(Inputs!$D$10+Inputs!$D$11)+Inputs!$D$16),Inputs!$D$13*Inputs!$D$14,0)</f>
        <v/>
      </c>
      <c r="F23" s="17">
        <f>IF(AND(A23&gt;(Inputs!$D$10+Inputs!$D$11)+Inputs!$D$12,A23&lt;=(Inputs!$D$10+Inputs!$D$11)+Inputs!$D$12+Inputs!$D$16),Inputs!$D$13*Inputs!$D$14*Inputs!$D$15,0)</f>
        <v/>
      </c>
      <c r="G23" s="17">
        <f>F23*1000*Inputs!$D$7/1e6</f>
        <v/>
      </c>
      <c r="H23" s="17">
        <f>G23-B23-C23-D23</f>
        <v/>
      </c>
      <c r="I23" s="18">
        <f>1/(1+Inputs!$D$18)^A23</f>
        <v/>
      </c>
      <c r="J23" s="17">
        <f>H23*I23</f>
        <v/>
      </c>
      <c r="K23" s="17">
        <f>(B23+C23)*I23</f>
        <v/>
      </c>
      <c r="L23" s="17">
        <f>(G23-D23)*I23</f>
        <v/>
      </c>
      <c r="M23" s="17">
        <f>F23*I23</f>
        <v/>
      </c>
    </row>
    <row r="24">
      <c r="A24" t="n">
        <v>19</v>
      </c>
      <c r="B24" s="17">
        <f>IF(A24&lt;=Inputs!$D$10,Inputs!$D$9/Inputs!$D$10,0)</f>
        <v/>
      </c>
      <c r="C24" s="17">
        <f>IF(A24=Inputs!$D$10,Inputs!$D$8*Inputs!$D$6/1e6,0)</f>
        <v/>
      </c>
      <c r="D24" s="17">
        <f>IF(AND(A24&gt;(Inputs!$D$10+Inputs!$D$11),A24&lt;=(Inputs!$D$10+Inputs!$D$11)+Inputs!$D$16),Inputs!$D$17,0)</f>
        <v/>
      </c>
      <c r="E24" s="17">
        <f>IF(AND(A24&gt;(Inputs!$D$10+Inputs!$D$11),A24&lt;=(Inputs!$D$10+Inputs!$D$11)+Inputs!$D$16),Inputs!$D$13*Inputs!$D$14,0)</f>
        <v/>
      </c>
      <c r="F24" s="17">
        <f>IF(AND(A24&gt;(Inputs!$D$10+Inputs!$D$11)+Inputs!$D$12,A24&lt;=(Inputs!$D$10+Inputs!$D$11)+Inputs!$D$12+Inputs!$D$16),Inputs!$D$13*Inputs!$D$14*Inputs!$D$15,0)</f>
        <v/>
      </c>
      <c r="G24" s="17">
        <f>F24*1000*Inputs!$D$7/1e6</f>
        <v/>
      </c>
      <c r="H24" s="17">
        <f>G24-B24-C24-D24</f>
        <v/>
      </c>
      <c r="I24" s="18">
        <f>1/(1+Inputs!$D$18)^A24</f>
        <v/>
      </c>
      <c r="J24" s="17">
        <f>H24*I24</f>
        <v/>
      </c>
      <c r="K24" s="17">
        <f>(B24+C24)*I24</f>
        <v/>
      </c>
      <c r="L24" s="17">
        <f>(G24-D24)*I24</f>
        <v/>
      </c>
      <c r="M24" s="17">
        <f>F24*I24</f>
        <v/>
      </c>
    </row>
    <row r="25">
      <c r="A25" t="n">
        <v>20</v>
      </c>
      <c r="B25" s="17">
        <f>IF(A25&lt;=Inputs!$D$10,Inputs!$D$9/Inputs!$D$10,0)</f>
        <v/>
      </c>
      <c r="C25" s="17">
        <f>IF(A25=Inputs!$D$10,Inputs!$D$8*Inputs!$D$6/1e6,0)</f>
        <v/>
      </c>
      <c r="D25" s="17">
        <f>IF(AND(A25&gt;(Inputs!$D$10+Inputs!$D$11),A25&lt;=(Inputs!$D$10+Inputs!$D$11)+Inputs!$D$16),Inputs!$D$17,0)</f>
        <v/>
      </c>
      <c r="E25" s="17">
        <f>IF(AND(A25&gt;(Inputs!$D$10+Inputs!$D$11),A25&lt;=(Inputs!$D$10+Inputs!$D$11)+Inputs!$D$16),Inputs!$D$13*Inputs!$D$14,0)</f>
        <v/>
      </c>
      <c r="F25" s="17">
        <f>IF(AND(A25&gt;(Inputs!$D$10+Inputs!$D$11)+Inputs!$D$12,A25&lt;=(Inputs!$D$10+Inputs!$D$11)+Inputs!$D$12+Inputs!$D$16),Inputs!$D$13*Inputs!$D$14*Inputs!$D$15,0)</f>
        <v/>
      </c>
      <c r="G25" s="17">
        <f>F25*1000*Inputs!$D$7/1e6</f>
        <v/>
      </c>
      <c r="H25" s="17">
        <f>G25-B25-C25-D25</f>
        <v/>
      </c>
      <c r="I25" s="18">
        <f>1/(1+Inputs!$D$18)^A25</f>
        <v/>
      </c>
      <c r="J25" s="17">
        <f>H25*I25</f>
        <v/>
      </c>
      <c r="K25" s="17">
        <f>(B25+C25)*I25</f>
        <v/>
      </c>
      <c r="L25" s="17">
        <f>(G25-D25)*I25</f>
        <v/>
      </c>
      <c r="M25" s="17">
        <f>F25*I25</f>
        <v/>
      </c>
    </row>
    <row r="26">
      <c r="A26" t="n">
        <v>21</v>
      </c>
      <c r="B26" s="17">
        <f>IF(A26&lt;=Inputs!$D$10,Inputs!$D$9/Inputs!$D$10,0)</f>
        <v/>
      </c>
      <c r="C26" s="17">
        <f>IF(A26=Inputs!$D$10,Inputs!$D$8*Inputs!$D$6/1e6,0)</f>
        <v/>
      </c>
      <c r="D26" s="17">
        <f>IF(AND(A26&gt;(Inputs!$D$10+Inputs!$D$11),A26&lt;=(Inputs!$D$10+Inputs!$D$11)+Inputs!$D$16),Inputs!$D$17,0)</f>
        <v/>
      </c>
      <c r="E26" s="17">
        <f>IF(AND(A26&gt;(Inputs!$D$10+Inputs!$D$11),A26&lt;=(Inputs!$D$10+Inputs!$D$11)+Inputs!$D$16),Inputs!$D$13*Inputs!$D$14,0)</f>
        <v/>
      </c>
      <c r="F26" s="17">
        <f>IF(AND(A26&gt;(Inputs!$D$10+Inputs!$D$11)+Inputs!$D$12,A26&lt;=(Inputs!$D$10+Inputs!$D$11)+Inputs!$D$12+Inputs!$D$16),Inputs!$D$13*Inputs!$D$14*Inputs!$D$15,0)</f>
        <v/>
      </c>
      <c r="G26" s="17">
        <f>F26*1000*Inputs!$D$7/1e6</f>
        <v/>
      </c>
      <c r="H26" s="17">
        <f>G26-B26-C26-D26</f>
        <v/>
      </c>
      <c r="I26" s="18">
        <f>1/(1+Inputs!$D$18)^A26</f>
        <v/>
      </c>
      <c r="J26" s="17">
        <f>H26*I26</f>
        <v/>
      </c>
      <c r="K26" s="17">
        <f>(B26+C26)*I26</f>
        <v/>
      </c>
      <c r="L26" s="17">
        <f>(G26-D26)*I26</f>
        <v/>
      </c>
      <c r="M26" s="17">
        <f>F26*I26</f>
        <v/>
      </c>
    </row>
    <row r="27">
      <c r="A27" t="n">
        <v>22</v>
      </c>
      <c r="B27" s="17">
        <f>IF(A27&lt;=Inputs!$D$10,Inputs!$D$9/Inputs!$D$10,0)</f>
        <v/>
      </c>
      <c r="C27" s="17">
        <f>IF(A27=Inputs!$D$10,Inputs!$D$8*Inputs!$D$6/1e6,0)</f>
        <v/>
      </c>
      <c r="D27" s="17">
        <f>IF(AND(A27&gt;(Inputs!$D$10+Inputs!$D$11),A27&lt;=(Inputs!$D$10+Inputs!$D$11)+Inputs!$D$16),Inputs!$D$17,0)</f>
        <v/>
      </c>
      <c r="E27" s="17">
        <f>IF(AND(A27&gt;(Inputs!$D$10+Inputs!$D$11),A27&lt;=(Inputs!$D$10+Inputs!$D$11)+Inputs!$D$16),Inputs!$D$13*Inputs!$D$14,0)</f>
        <v/>
      </c>
      <c r="F27" s="17">
        <f>IF(AND(A27&gt;(Inputs!$D$10+Inputs!$D$11)+Inputs!$D$12,A27&lt;=(Inputs!$D$10+Inputs!$D$11)+Inputs!$D$12+Inputs!$D$16),Inputs!$D$13*Inputs!$D$14*Inputs!$D$15,0)</f>
        <v/>
      </c>
      <c r="G27" s="17">
        <f>F27*1000*Inputs!$D$7/1e6</f>
        <v/>
      </c>
      <c r="H27" s="17">
        <f>G27-B27-C27-D27</f>
        <v/>
      </c>
      <c r="I27" s="18">
        <f>1/(1+Inputs!$D$18)^A27</f>
        <v/>
      </c>
      <c r="J27" s="17">
        <f>H27*I27</f>
        <v/>
      </c>
      <c r="K27" s="17">
        <f>(B27+C27)*I27</f>
        <v/>
      </c>
      <c r="L27" s="17">
        <f>(G27-D27)*I27</f>
        <v/>
      </c>
      <c r="M27" s="17">
        <f>F27*I27</f>
        <v/>
      </c>
    </row>
    <row r="28">
      <c r="A28" t="n">
        <v>23</v>
      </c>
      <c r="B28" s="17">
        <f>IF(A28&lt;=Inputs!$D$10,Inputs!$D$9/Inputs!$D$10,0)</f>
        <v/>
      </c>
      <c r="C28" s="17">
        <f>IF(A28=Inputs!$D$10,Inputs!$D$8*Inputs!$D$6/1e6,0)</f>
        <v/>
      </c>
      <c r="D28" s="17">
        <f>IF(AND(A28&gt;(Inputs!$D$10+Inputs!$D$11),A28&lt;=(Inputs!$D$10+Inputs!$D$11)+Inputs!$D$16),Inputs!$D$17,0)</f>
        <v/>
      </c>
      <c r="E28" s="17">
        <f>IF(AND(A28&gt;(Inputs!$D$10+Inputs!$D$11),A28&lt;=(Inputs!$D$10+Inputs!$D$11)+Inputs!$D$16),Inputs!$D$13*Inputs!$D$14,0)</f>
        <v/>
      </c>
      <c r="F28" s="17">
        <f>IF(AND(A28&gt;(Inputs!$D$10+Inputs!$D$11)+Inputs!$D$12,A28&lt;=(Inputs!$D$10+Inputs!$D$11)+Inputs!$D$12+Inputs!$D$16),Inputs!$D$13*Inputs!$D$14*Inputs!$D$15,0)</f>
        <v/>
      </c>
      <c r="G28" s="17">
        <f>F28*1000*Inputs!$D$7/1e6</f>
        <v/>
      </c>
      <c r="H28" s="17">
        <f>G28-B28-C28-D28</f>
        <v/>
      </c>
      <c r="I28" s="18">
        <f>1/(1+Inputs!$D$18)^A28</f>
        <v/>
      </c>
      <c r="J28" s="17">
        <f>H28*I28</f>
        <v/>
      </c>
      <c r="K28" s="17">
        <f>(B28+C28)*I28</f>
        <v/>
      </c>
      <c r="L28" s="17">
        <f>(G28-D28)*I28</f>
        <v/>
      </c>
      <c r="M28" s="17">
        <f>F28*I28</f>
        <v/>
      </c>
    </row>
    <row r="29">
      <c r="A29" t="n">
        <v>24</v>
      </c>
      <c r="B29" s="17">
        <f>IF(A29&lt;=Inputs!$D$10,Inputs!$D$9/Inputs!$D$10,0)</f>
        <v/>
      </c>
      <c r="C29" s="17">
        <f>IF(A29=Inputs!$D$10,Inputs!$D$8*Inputs!$D$6/1e6,0)</f>
        <v/>
      </c>
      <c r="D29" s="17">
        <f>IF(AND(A29&gt;(Inputs!$D$10+Inputs!$D$11),A29&lt;=(Inputs!$D$10+Inputs!$D$11)+Inputs!$D$16),Inputs!$D$17,0)</f>
        <v/>
      </c>
      <c r="E29" s="17">
        <f>IF(AND(A29&gt;(Inputs!$D$10+Inputs!$D$11),A29&lt;=(Inputs!$D$10+Inputs!$D$11)+Inputs!$D$16),Inputs!$D$13*Inputs!$D$14,0)</f>
        <v/>
      </c>
      <c r="F29" s="17">
        <f>IF(AND(A29&gt;(Inputs!$D$10+Inputs!$D$11)+Inputs!$D$12,A29&lt;=(Inputs!$D$10+Inputs!$D$11)+Inputs!$D$12+Inputs!$D$16),Inputs!$D$13*Inputs!$D$14*Inputs!$D$15,0)</f>
        <v/>
      </c>
      <c r="G29" s="17">
        <f>F29*1000*Inputs!$D$7/1e6</f>
        <v/>
      </c>
      <c r="H29" s="17">
        <f>G29-B29-C29-D29</f>
        <v/>
      </c>
      <c r="I29" s="18">
        <f>1/(1+Inputs!$D$18)^A29</f>
        <v/>
      </c>
      <c r="J29" s="17">
        <f>H29*I29</f>
        <v/>
      </c>
      <c r="K29" s="17">
        <f>(B29+C29)*I29</f>
        <v/>
      </c>
      <c r="L29" s="17">
        <f>(G29-D29)*I29</f>
        <v/>
      </c>
      <c r="M29" s="17">
        <f>F29*I29</f>
        <v/>
      </c>
    </row>
    <row r="30">
      <c r="A30" t="n">
        <v>25</v>
      </c>
      <c r="B30" s="17">
        <f>IF(A30&lt;=Inputs!$D$10,Inputs!$D$9/Inputs!$D$10,0)</f>
        <v/>
      </c>
      <c r="C30" s="17">
        <f>IF(A30=Inputs!$D$10,Inputs!$D$8*Inputs!$D$6/1e6,0)</f>
        <v/>
      </c>
      <c r="D30" s="17">
        <f>IF(AND(A30&gt;(Inputs!$D$10+Inputs!$D$11),A30&lt;=(Inputs!$D$10+Inputs!$D$11)+Inputs!$D$16),Inputs!$D$17,0)</f>
        <v/>
      </c>
      <c r="E30" s="17">
        <f>IF(AND(A30&gt;(Inputs!$D$10+Inputs!$D$11),A30&lt;=(Inputs!$D$10+Inputs!$D$11)+Inputs!$D$16),Inputs!$D$13*Inputs!$D$14,0)</f>
        <v/>
      </c>
      <c r="F30" s="17">
        <f>IF(AND(A30&gt;(Inputs!$D$10+Inputs!$D$11)+Inputs!$D$12,A30&lt;=(Inputs!$D$10+Inputs!$D$11)+Inputs!$D$12+Inputs!$D$16),Inputs!$D$13*Inputs!$D$14*Inputs!$D$15,0)</f>
        <v/>
      </c>
      <c r="G30" s="17">
        <f>F30*1000*Inputs!$D$7/1e6</f>
        <v/>
      </c>
      <c r="H30" s="17">
        <f>G30-B30-C30-D30</f>
        <v/>
      </c>
      <c r="I30" s="18">
        <f>1/(1+Inputs!$D$18)^A30</f>
        <v/>
      </c>
      <c r="J30" s="17">
        <f>H30*I30</f>
        <v/>
      </c>
      <c r="K30" s="17">
        <f>(B30+C30)*I30</f>
        <v/>
      </c>
      <c r="L30" s="17">
        <f>(G30-D30)*I30</f>
        <v/>
      </c>
      <c r="M30" s="17">
        <f>F30*I30</f>
        <v/>
      </c>
    </row>
    <row r="31">
      <c r="A31" t="n">
        <v>26</v>
      </c>
      <c r="B31" s="17">
        <f>IF(A31&lt;=Inputs!$D$10,Inputs!$D$9/Inputs!$D$10,0)</f>
        <v/>
      </c>
      <c r="C31" s="17">
        <f>IF(A31=Inputs!$D$10,Inputs!$D$8*Inputs!$D$6/1e6,0)</f>
        <v/>
      </c>
      <c r="D31" s="17">
        <f>IF(AND(A31&gt;(Inputs!$D$10+Inputs!$D$11),A31&lt;=(Inputs!$D$10+Inputs!$D$11)+Inputs!$D$16),Inputs!$D$17,0)</f>
        <v/>
      </c>
      <c r="E31" s="17">
        <f>IF(AND(A31&gt;(Inputs!$D$10+Inputs!$D$11),A31&lt;=(Inputs!$D$10+Inputs!$D$11)+Inputs!$D$16),Inputs!$D$13*Inputs!$D$14,0)</f>
        <v/>
      </c>
      <c r="F31" s="17">
        <f>IF(AND(A31&gt;(Inputs!$D$10+Inputs!$D$11)+Inputs!$D$12,A31&lt;=(Inputs!$D$10+Inputs!$D$11)+Inputs!$D$12+Inputs!$D$16),Inputs!$D$13*Inputs!$D$14*Inputs!$D$15,0)</f>
        <v/>
      </c>
      <c r="G31" s="17">
        <f>F31*1000*Inputs!$D$7/1e6</f>
        <v/>
      </c>
      <c r="H31" s="17">
        <f>G31-B31-C31-D31</f>
        <v/>
      </c>
      <c r="I31" s="18">
        <f>1/(1+Inputs!$D$18)^A31</f>
        <v/>
      </c>
      <c r="J31" s="17">
        <f>H31*I31</f>
        <v/>
      </c>
      <c r="K31" s="17">
        <f>(B31+C31)*I31</f>
        <v/>
      </c>
      <c r="L31" s="17">
        <f>(G31-D31)*I31</f>
        <v/>
      </c>
      <c r="M31" s="17">
        <f>F31*I31</f>
        <v/>
      </c>
    </row>
    <row r="32">
      <c r="A32" t="n">
        <v>27</v>
      </c>
      <c r="B32" s="17">
        <f>IF(A32&lt;=Inputs!$D$10,Inputs!$D$9/Inputs!$D$10,0)</f>
        <v/>
      </c>
      <c r="C32" s="17">
        <f>IF(A32=Inputs!$D$10,Inputs!$D$8*Inputs!$D$6/1e6,0)</f>
        <v/>
      </c>
      <c r="D32" s="17">
        <f>IF(AND(A32&gt;(Inputs!$D$10+Inputs!$D$11),A32&lt;=(Inputs!$D$10+Inputs!$D$11)+Inputs!$D$16),Inputs!$D$17,0)</f>
        <v/>
      </c>
      <c r="E32" s="17">
        <f>IF(AND(A32&gt;(Inputs!$D$10+Inputs!$D$11),A32&lt;=(Inputs!$D$10+Inputs!$D$11)+Inputs!$D$16),Inputs!$D$13*Inputs!$D$14,0)</f>
        <v/>
      </c>
      <c r="F32" s="17">
        <f>IF(AND(A32&gt;(Inputs!$D$10+Inputs!$D$11)+Inputs!$D$12,A32&lt;=(Inputs!$D$10+Inputs!$D$11)+Inputs!$D$12+Inputs!$D$16),Inputs!$D$13*Inputs!$D$14*Inputs!$D$15,0)</f>
        <v/>
      </c>
      <c r="G32" s="17">
        <f>F32*1000*Inputs!$D$7/1e6</f>
        <v/>
      </c>
      <c r="H32" s="17">
        <f>G32-B32-C32-D32</f>
        <v/>
      </c>
      <c r="I32" s="18">
        <f>1/(1+Inputs!$D$18)^A32</f>
        <v/>
      </c>
      <c r="J32" s="17">
        <f>H32*I32</f>
        <v/>
      </c>
      <c r="K32" s="17">
        <f>(B32+C32)*I32</f>
        <v/>
      </c>
      <c r="L32" s="17">
        <f>(G32-D32)*I32</f>
        <v/>
      </c>
      <c r="M32" s="17">
        <f>F32*I32</f>
        <v/>
      </c>
    </row>
    <row r="33">
      <c r="A33" t="n">
        <v>28</v>
      </c>
      <c r="B33" s="17">
        <f>IF(A33&lt;=Inputs!$D$10,Inputs!$D$9/Inputs!$D$10,0)</f>
        <v/>
      </c>
      <c r="C33" s="17">
        <f>IF(A33=Inputs!$D$10,Inputs!$D$8*Inputs!$D$6/1e6,0)</f>
        <v/>
      </c>
      <c r="D33" s="17">
        <f>IF(AND(A33&gt;(Inputs!$D$10+Inputs!$D$11),A33&lt;=(Inputs!$D$10+Inputs!$D$11)+Inputs!$D$16),Inputs!$D$17,0)</f>
        <v/>
      </c>
      <c r="E33" s="17">
        <f>IF(AND(A33&gt;(Inputs!$D$10+Inputs!$D$11),A33&lt;=(Inputs!$D$10+Inputs!$D$11)+Inputs!$D$16),Inputs!$D$13*Inputs!$D$14,0)</f>
        <v/>
      </c>
      <c r="F33" s="17">
        <f>IF(AND(A33&gt;(Inputs!$D$10+Inputs!$D$11)+Inputs!$D$12,A33&lt;=(Inputs!$D$10+Inputs!$D$11)+Inputs!$D$12+Inputs!$D$16),Inputs!$D$13*Inputs!$D$14*Inputs!$D$15,0)</f>
        <v/>
      </c>
      <c r="G33" s="17">
        <f>F33*1000*Inputs!$D$7/1e6</f>
        <v/>
      </c>
      <c r="H33" s="17">
        <f>G33-B33-C33-D33</f>
        <v/>
      </c>
      <c r="I33" s="18">
        <f>1/(1+Inputs!$D$18)^A33</f>
        <v/>
      </c>
      <c r="J33" s="17">
        <f>H33*I33</f>
        <v/>
      </c>
      <c r="K33" s="17">
        <f>(B33+C33)*I33</f>
        <v/>
      </c>
      <c r="L33" s="17">
        <f>(G33-D33)*I33</f>
        <v/>
      </c>
      <c r="M33" s="17">
        <f>F33*I33</f>
        <v/>
      </c>
    </row>
    <row r="34">
      <c r="A34" t="n">
        <v>29</v>
      </c>
      <c r="B34" s="17">
        <f>IF(A34&lt;=Inputs!$D$10,Inputs!$D$9/Inputs!$D$10,0)</f>
        <v/>
      </c>
      <c r="C34" s="17">
        <f>IF(A34=Inputs!$D$10,Inputs!$D$8*Inputs!$D$6/1e6,0)</f>
        <v/>
      </c>
      <c r="D34" s="17">
        <f>IF(AND(A34&gt;(Inputs!$D$10+Inputs!$D$11),A34&lt;=(Inputs!$D$10+Inputs!$D$11)+Inputs!$D$16),Inputs!$D$17,0)</f>
        <v/>
      </c>
      <c r="E34" s="17">
        <f>IF(AND(A34&gt;(Inputs!$D$10+Inputs!$D$11),A34&lt;=(Inputs!$D$10+Inputs!$D$11)+Inputs!$D$16),Inputs!$D$13*Inputs!$D$14,0)</f>
        <v/>
      </c>
      <c r="F34" s="17">
        <f>IF(AND(A34&gt;(Inputs!$D$10+Inputs!$D$11)+Inputs!$D$12,A34&lt;=(Inputs!$D$10+Inputs!$D$11)+Inputs!$D$12+Inputs!$D$16),Inputs!$D$13*Inputs!$D$14*Inputs!$D$15,0)</f>
        <v/>
      </c>
      <c r="G34" s="17">
        <f>F34*1000*Inputs!$D$7/1e6</f>
        <v/>
      </c>
      <c r="H34" s="17">
        <f>G34-B34-C34-D34</f>
        <v/>
      </c>
      <c r="I34" s="18">
        <f>1/(1+Inputs!$D$18)^A34</f>
        <v/>
      </c>
      <c r="J34" s="17">
        <f>H34*I34</f>
        <v/>
      </c>
      <c r="K34" s="17">
        <f>(B34+C34)*I34</f>
        <v/>
      </c>
      <c r="L34" s="17">
        <f>(G34-D34)*I34</f>
        <v/>
      </c>
      <c r="M34" s="17">
        <f>F34*I34</f>
        <v/>
      </c>
    </row>
    <row r="35">
      <c r="A35" t="n">
        <v>30</v>
      </c>
      <c r="B35" s="17">
        <f>IF(A35&lt;=Inputs!$D$10,Inputs!$D$9/Inputs!$D$10,0)</f>
        <v/>
      </c>
      <c r="C35" s="17">
        <f>IF(A35=Inputs!$D$10,Inputs!$D$8*Inputs!$D$6/1e6,0)</f>
        <v/>
      </c>
      <c r="D35" s="17">
        <f>IF(AND(A35&gt;(Inputs!$D$10+Inputs!$D$11),A35&lt;=(Inputs!$D$10+Inputs!$D$11)+Inputs!$D$16),Inputs!$D$17,0)</f>
        <v/>
      </c>
      <c r="E35" s="17">
        <f>IF(AND(A35&gt;(Inputs!$D$10+Inputs!$D$11),A35&lt;=(Inputs!$D$10+Inputs!$D$11)+Inputs!$D$16),Inputs!$D$13*Inputs!$D$14,0)</f>
        <v/>
      </c>
      <c r="F35" s="17">
        <f>IF(AND(A35&gt;(Inputs!$D$10+Inputs!$D$11)+Inputs!$D$12,A35&lt;=(Inputs!$D$10+Inputs!$D$11)+Inputs!$D$12+Inputs!$D$16),Inputs!$D$13*Inputs!$D$14*Inputs!$D$15,0)</f>
        <v/>
      </c>
      <c r="G35" s="17">
        <f>F35*1000*Inputs!$D$7/1e6</f>
        <v/>
      </c>
      <c r="H35" s="17">
        <f>G35-B35-C35-D35</f>
        <v/>
      </c>
      <c r="I35" s="18">
        <f>1/(1+Inputs!$D$18)^A35</f>
        <v/>
      </c>
      <c r="J35" s="17">
        <f>H35*I35</f>
        <v/>
      </c>
      <c r="K35" s="17">
        <f>(B35+C35)*I35</f>
        <v/>
      </c>
      <c r="L35" s="17">
        <f>(G35-D35)*I35</f>
        <v/>
      </c>
      <c r="M35" s="17">
        <f>F35*I35</f>
        <v/>
      </c>
    </row>
    <row r="36">
      <c r="A36" t="n">
        <v>31</v>
      </c>
      <c r="B36" s="17">
        <f>IF(A36&lt;=Inputs!$D$10,Inputs!$D$9/Inputs!$D$10,0)</f>
        <v/>
      </c>
      <c r="C36" s="17">
        <f>IF(A36=Inputs!$D$10,Inputs!$D$8*Inputs!$D$6/1e6,0)</f>
        <v/>
      </c>
      <c r="D36" s="17">
        <f>IF(AND(A36&gt;(Inputs!$D$10+Inputs!$D$11),A36&lt;=(Inputs!$D$10+Inputs!$D$11)+Inputs!$D$16),Inputs!$D$17,0)</f>
        <v/>
      </c>
      <c r="E36" s="17">
        <f>IF(AND(A36&gt;(Inputs!$D$10+Inputs!$D$11),A36&lt;=(Inputs!$D$10+Inputs!$D$11)+Inputs!$D$16),Inputs!$D$13*Inputs!$D$14,0)</f>
        <v/>
      </c>
      <c r="F36" s="17">
        <f>IF(AND(A36&gt;(Inputs!$D$10+Inputs!$D$11)+Inputs!$D$12,A36&lt;=(Inputs!$D$10+Inputs!$D$11)+Inputs!$D$12+Inputs!$D$16),Inputs!$D$13*Inputs!$D$14*Inputs!$D$15,0)</f>
        <v/>
      </c>
      <c r="G36" s="17">
        <f>F36*1000*Inputs!$D$7/1e6</f>
        <v/>
      </c>
      <c r="H36" s="17">
        <f>G36-B36-C36-D36</f>
        <v/>
      </c>
      <c r="I36" s="18">
        <f>1/(1+Inputs!$D$18)^A36</f>
        <v/>
      </c>
      <c r="J36" s="17">
        <f>H36*I36</f>
        <v/>
      </c>
      <c r="K36" s="17">
        <f>(B36+C36)*I36</f>
        <v/>
      </c>
      <c r="L36" s="17">
        <f>(G36-D36)*I36</f>
        <v/>
      </c>
      <c r="M36" s="17">
        <f>F36*I36</f>
        <v/>
      </c>
    </row>
    <row r="37">
      <c r="A37" t="n">
        <v>32</v>
      </c>
      <c r="B37" s="17">
        <f>IF(A37&lt;=Inputs!$D$10,Inputs!$D$9/Inputs!$D$10,0)</f>
        <v/>
      </c>
      <c r="C37" s="17">
        <f>IF(A37=Inputs!$D$10,Inputs!$D$8*Inputs!$D$6/1e6,0)</f>
        <v/>
      </c>
      <c r="D37" s="17">
        <f>IF(AND(A37&gt;(Inputs!$D$10+Inputs!$D$11),A37&lt;=(Inputs!$D$10+Inputs!$D$11)+Inputs!$D$16),Inputs!$D$17,0)</f>
        <v/>
      </c>
      <c r="E37" s="17">
        <f>IF(AND(A37&gt;(Inputs!$D$10+Inputs!$D$11),A37&lt;=(Inputs!$D$10+Inputs!$D$11)+Inputs!$D$16),Inputs!$D$13*Inputs!$D$14,0)</f>
        <v/>
      </c>
      <c r="F37" s="17">
        <f>IF(AND(A37&gt;(Inputs!$D$10+Inputs!$D$11)+Inputs!$D$12,A37&lt;=(Inputs!$D$10+Inputs!$D$11)+Inputs!$D$12+Inputs!$D$16),Inputs!$D$13*Inputs!$D$14*Inputs!$D$15,0)</f>
        <v/>
      </c>
      <c r="G37" s="17">
        <f>F37*1000*Inputs!$D$7/1e6</f>
        <v/>
      </c>
      <c r="H37" s="17">
        <f>G37-B37-C37-D37</f>
        <v/>
      </c>
      <c r="I37" s="18">
        <f>1/(1+Inputs!$D$18)^A37</f>
        <v/>
      </c>
      <c r="J37" s="17">
        <f>H37*I37</f>
        <v/>
      </c>
      <c r="K37" s="17">
        <f>(B37+C37)*I37</f>
        <v/>
      </c>
      <c r="L37" s="17">
        <f>(G37-D37)*I37</f>
        <v/>
      </c>
      <c r="M37" s="17">
        <f>F37*I37</f>
        <v/>
      </c>
    </row>
    <row r="38">
      <c r="A38" t="n">
        <v>33</v>
      </c>
      <c r="B38" s="17">
        <f>IF(A38&lt;=Inputs!$D$10,Inputs!$D$9/Inputs!$D$10,0)</f>
        <v/>
      </c>
      <c r="C38" s="17">
        <f>IF(A38=Inputs!$D$10,Inputs!$D$8*Inputs!$D$6/1e6,0)</f>
        <v/>
      </c>
      <c r="D38" s="17">
        <f>IF(AND(A38&gt;(Inputs!$D$10+Inputs!$D$11),A38&lt;=(Inputs!$D$10+Inputs!$D$11)+Inputs!$D$16),Inputs!$D$17,0)</f>
        <v/>
      </c>
      <c r="E38" s="17">
        <f>IF(AND(A38&gt;(Inputs!$D$10+Inputs!$D$11),A38&lt;=(Inputs!$D$10+Inputs!$D$11)+Inputs!$D$16),Inputs!$D$13*Inputs!$D$14,0)</f>
        <v/>
      </c>
      <c r="F38" s="17">
        <f>IF(AND(A38&gt;(Inputs!$D$10+Inputs!$D$11)+Inputs!$D$12,A38&lt;=(Inputs!$D$10+Inputs!$D$11)+Inputs!$D$12+Inputs!$D$16),Inputs!$D$13*Inputs!$D$14*Inputs!$D$15,0)</f>
        <v/>
      </c>
      <c r="G38" s="17">
        <f>F38*1000*Inputs!$D$7/1e6</f>
        <v/>
      </c>
      <c r="H38" s="17">
        <f>G38-B38-C38-D38</f>
        <v/>
      </c>
      <c r="I38" s="18">
        <f>1/(1+Inputs!$D$18)^A38</f>
        <v/>
      </c>
      <c r="J38" s="17">
        <f>H38*I38</f>
        <v/>
      </c>
      <c r="K38" s="17">
        <f>(B38+C38)*I38</f>
        <v/>
      </c>
      <c r="L38" s="17">
        <f>(G38-D38)*I38</f>
        <v/>
      </c>
      <c r="M38" s="17">
        <f>F38*I38</f>
        <v/>
      </c>
    </row>
    <row r="39">
      <c r="A39" t="n">
        <v>34</v>
      </c>
      <c r="B39" s="17">
        <f>IF(A39&lt;=Inputs!$D$10,Inputs!$D$9/Inputs!$D$10,0)</f>
        <v/>
      </c>
      <c r="C39" s="17">
        <f>IF(A39=Inputs!$D$10,Inputs!$D$8*Inputs!$D$6/1e6,0)</f>
        <v/>
      </c>
      <c r="D39" s="17">
        <f>IF(AND(A39&gt;(Inputs!$D$10+Inputs!$D$11),A39&lt;=(Inputs!$D$10+Inputs!$D$11)+Inputs!$D$16),Inputs!$D$17,0)</f>
        <v/>
      </c>
      <c r="E39" s="17">
        <f>IF(AND(A39&gt;(Inputs!$D$10+Inputs!$D$11),A39&lt;=(Inputs!$D$10+Inputs!$D$11)+Inputs!$D$16),Inputs!$D$13*Inputs!$D$14,0)</f>
        <v/>
      </c>
      <c r="F39" s="17">
        <f>IF(AND(A39&gt;(Inputs!$D$10+Inputs!$D$11)+Inputs!$D$12,A39&lt;=(Inputs!$D$10+Inputs!$D$11)+Inputs!$D$12+Inputs!$D$16),Inputs!$D$13*Inputs!$D$14*Inputs!$D$15,0)</f>
        <v/>
      </c>
      <c r="G39" s="17">
        <f>F39*1000*Inputs!$D$7/1e6</f>
        <v/>
      </c>
      <c r="H39" s="17">
        <f>G39-B39-C39-D39</f>
        <v/>
      </c>
      <c r="I39" s="18">
        <f>1/(1+Inputs!$D$18)^A39</f>
        <v/>
      </c>
      <c r="J39" s="17">
        <f>H39*I39</f>
        <v/>
      </c>
      <c r="K39" s="17">
        <f>(B39+C39)*I39</f>
        <v/>
      </c>
      <c r="L39" s="17">
        <f>(G39-D39)*I39</f>
        <v/>
      </c>
      <c r="M39" s="17">
        <f>F39*I39</f>
        <v/>
      </c>
    </row>
    <row r="40">
      <c r="A40" t="n">
        <v>35</v>
      </c>
      <c r="B40" s="17">
        <f>IF(A40&lt;=Inputs!$D$10,Inputs!$D$9/Inputs!$D$10,0)</f>
        <v/>
      </c>
      <c r="C40" s="17">
        <f>IF(A40=Inputs!$D$10,Inputs!$D$8*Inputs!$D$6/1e6,0)</f>
        <v/>
      </c>
      <c r="D40" s="17">
        <f>IF(AND(A40&gt;(Inputs!$D$10+Inputs!$D$11),A40&lt;=(Inputs!$D$10+Inputs!$D$11)+Inputs!$D$16),Inputs!$D$17,0)</f>
        <v/>
      </c>
      <c r="E40" s="17">
        <f>IF(AND(A40&gt;(Inputs!$D$10+Inputs!$D$11),A40&lt;=(Inputs!$D$10+Inputs!$D$11)+Inputs!$D$16),Inputs!$D$13*Inputs!$D$14,0)</f>
        <v/>
      </c>
      <c r="F40" s="17">
        <f>IF(AND(A40&gt;(Inputs!$D$10+Inputs!$D$11)+Inputs!$D$12,A40&lt;=(Inputs!$D$10+Inputs!$D$11)+Inputs!$D$12+Inputs!$D$16),Inputs!$D$13*Inputs!$D$14*Inputs!$D$15,0)</f>
        <v/>
      </c>
      <c r="G40" s="17">
        <f>F40*1000*Inputs!$D$7/1e6</f>
        <v/>
      </c>
      <c r="H40" s="17">
        <f>G40-B40-C40-D40</f>
        <v/>
      </c>
      <c r="I40" s="18">
        <f>1/(1+Inputs!$D$18)^A40</f>
        <v/>
      </c>
      <c r="J40" s="17">
        <f>H40*I40</f>
        <v/>
      </c>
      <c r="K40" s="17">
        <f>(B40+C40)*I40</f>
        <v/>
      </c>
      <c r="L40" s="17">
        <f>(G40-D40)*I40</f>
        <v/>
      </c>
      <c r="M40" s="17">
        <f>F40*I40</f>
        <v/>
      </c>
    </row>
    <row r="41">
      <c r="A41" t="n">
        <v>36</v>
      </c>
      <c r="B41" s="17">
        <f>IF(A41&lt;=Inputs!$D$10,Inputs!$D$9/Inputs!$D$10,0)</f>
        <v/>
      </c>
      <c r="C41" s="17">
        <f>IF(A41=Inputs!$D$10,Inputs!$D$8*Inputs!$D$6/1e6,0)</f>
        <v/>
      </c>
      <c r="D41" s="17">
        <f>IF(AND(A41&gt;(Inputs!$D$10+Inputs!$D$11),A41&lt;=(Inputs!$D$10+Inputs!$D$11)+Inputs!$D$16),Inputs!$D$17,0)</f>
        <v/>
      </c>
      <c r="E41" s="17">
        <f>IF(AND(A41&gt;(Inputs!$D$10+Inputs!$D$11),A41&lt;=(Inputs!$D$10+Inputs!$D$11)+Inputs!$D$16),Inputs!$D$13*Inputs!$D$14,0)</f>
        <v/>
      </c>
      <c r="F41" s="17">
        <f>IF(AND(A41&gt;(Inputs!$D$10+Inputs!$D$11)+Inputs!$D$12,A41&lt;=(Inputs!$D$10+Inputs!$D$11)+Inputs!$D$12+Inputs!$D$16),Inputs!$D$13*Inputs!$D$14*Inputs!$D$15,0)</f>
        <v/>
      </c>
      <c r="G41" s="17">
        <f>F41*1000*Inputs!$D$7/1e6</f>
        <v/>
      </c>
      <c r="H41" s="17">
        <f>G41-B41-C41-D41</f>
        <v/>
      </c>
      <c r="I41" s="18">
        <f>1/(1+Inputs!$D$18)^A41</f>
        <v/>
      </c>
      <c r="J41" s="17">
        <f>H41*I41</f>
        <v/>
      </c>
      <c r="K41" s="17">
        <f>(B41+C41)*I41</f>
        <v/>
      </c>
      <c r="L41" s="17">
        <f>(G41-D41)*I41</f>
        <v/>
      </c>
      <c r="M41" s="17">
        <f>F41*I41</f>
        <v/>
      </c>
    </row>
    <row r="42">
      <c r="A42" t="n">
        <v>37</v>
      </c>
      <c r="B42" s="17">
        <f>IF(A42&lt;=Inputs!$D$10,Inputs!$D$9/Inputs!$D$10,0)</f>
        <v/>
      </c>
      <c r="C42" s="17">
        <f>IF(A42=Inputs!$D$10,Inputs!$D$8*Inputs!$D$6/1e6,0)</f>
        <v/>
      </c>
      <c r="D42" s="17">
        <f>IF(AND(A42&gt;(Inputs!$D$10+Inputs!$D$11),A42&lt;=(Inputs!$D$10+Inputs!$D$11)+Inputs!$D$16),Inputs!$D$17,0)</f>
        <v/>
      </c>
      <c r="E42" s="17">
        <f>IF(AND(A42&gt;(Inputs!$D$10+Inputs!$D$11),A42&lt;=(Inputs!$D$10+Inputs!$D$11)+Inputs!$D$16),Inputs!$D$13*Inputs!$D$14,0)</f>
        <v/>
      </c>
      <c r="F42" s="17">
        <f>IF(AND(A42&gt;(Inputs!$D$10+Inputs!$D$11)+Inputs!$D$12,A42&lt;=(Inputs!$D$10+Inputs!$D$11)+Inputs!$D$12+Inputs!$D$16),Inputs!$D$13*Inputs!$D$14*Inputs!$D$15,0)</f>
        <v/>
      </c>
      <c r="G42" s="17">
        <f>F42*1000*Inputs!$D$7/1e6</f>
        <v/>
      </c>
      <c r="H42" s="17">
        <f>G42-B42-C42-D42</f>
        <v/>
      </c>
      <c r="I42" s="18">
        <f>1/(1+Inputs!$D$18)^A42</f>
        <v/>
      </c>
      <c r="J42" s="17">
        <f>H42*I42</f>
        <v/>
      </c>
      <c r="K42" s="17">
        <f>(B42+C42)*I42</f>
        <v/>
      </c>
      <c r="L42" s="17">
        <f>(G42-D42)*I42</f>
        <v/>
      </c>
      <c r="M42" s="17">
        <f>F42*I42</f>
        <v/>
      </c>
    </row>
    <row r="43">
      <c r="A43" t="n">
        <v>38</v>
      </c>
      <c r="B43" s="17">
        <f>IF(A43&lt;=Inputs!$D$10,Inputs!$D$9/Inputs!$D$10,0)</f>
        <v/>
      </c>
      <c r="C43" s="17">
        <f>IF(A43=Inputs!$D$10,Inputs!$D$8*Inputs!$D$6/1e6,0)</f>
        <v/>
      </c>
      <c r="D43" s="17">
        <f>IF(AND(A43&gt;(Inputs!$D$10+Inputs!$D$11),A43&lt;=(Inputs!$D$10+Inputs!$D$11)+Inputs!$D$16),Inputs!$D$17,0)</f>
        <v/>
      </c>
      <c r="E43" s="17">
        <f>IF(AND(A43&gt;(Inputs!$D$10+Inputs!$D$11),A43&lt;=(Inputs!$D$10+Inputs!$D$11)+Inputs!$D$16),Inputs!$D$13*Inputs!$D$14,0)</f>
        <v/>
      </c>
      <c r="F43" s="17">
        <f>IF(AND(A43&gt;(Inputs!$D$10+Inputs!$D$11)+Inputs!$D$12,A43&lt;=(Inputs!$D$10+Inputs!$D$11)+Inputs!$D$12+Inputs!$D$16),Inputs!$D$13*Inputs!$D$14*Inputs!$D$15,0)</f>
        <v/>
      </c>
      <c r="G43" s="17">
        <f>F43*1000*Inputs!$D$7/1e6</f>
        <v/>
      </c>
      <c r="H43" s="17">
        <f>G43-B43-C43-D43</f>
        <v/>
      </c>
      <c r="I43" s="18">
        <f>1/(1+Inputs!$D$18)^A43</f>
        <v/>
      </c>
      <c r="J43" s="17">
        <f>H43*I43</f>
        <v/>
      </c>
      <c r="K43" s="17">
        <f>(B43+C43)*I43</f>
        <v/>
      </c>
      <c r="L43" s="17">
        <f>(G43-D43)*I43</f>
        <v/>
      </c>
      <c r="M43" s="17">
        <f>F43*I43</f>
        <v/>
      </c>
    </row>
    <row r="44">
      <c r="A44" t="n">
        <v>39</v>
      </c>
      <c r="B44" s="17">
        <f>IF(A44&lt;=Inputs!$D$10,Inputs!$D$9/Inputs!$D$10,0)</f>
        <v/>
      </c>
      <c r="C44" s="17">
        <f>IF(A44=Inputs!$D$10,Inputs!$D$8*Inputs!$D$6/1e6,0)</f>
        <v/>
      </c>
      <c r="D44" s="17">
        <f>IF(AND(A44&gt;(Inputs!$D$10+Inputs!$D$11),A44&lt;=(Inputs!$D$10+Inputs!$D$11)+Inputs!$D$16),Inputs!$D$17,0)</f>
        <v/>
      </c>
      <c r="E44" s="17">
        <f>IF(AND(A44&gt;(Inputs!$D$10+Inputs!$D$11),A44&lt;=(Inputs!$D$10+Inputs!$D$11)+Inputs!$D$16),Inputs!$D$13*Inputs!$D$14,0)</f>
        <v/>
      </c>
      <c r="F44" s="17">
        <f>IF(AND(A44&gt;(Inputs!$D$10+Inputs!$D$11)+Inputs!$D$12,A44&lt;=(Inputs!$D$10+Inputs!$D$11)+Inputs!$D$12+Inputs!$D$16),Inputs!$D$13*Inputs!$D$14*Inputs!$D$15,0)</f>
        <v/>
      </c>
      <c r="G44" s="17">
        <f>F44*1000*Inputs!$D$7/1e6</f>
        <v/>
      </c>
      <c r="H44" s="17">
        <f>G44-B44-C44-D44</f>
        <v/>
      </c>
      <c r="I44" s="18">
        <f>1/(1+Inputs!$D$18)^A44</f>
        <v/>
      </c>
      <c r="J44" s="17">
        <f>H44*I44</f>
        <v/>
      </c>
      <c r="K44" s="17">
        <f>(B44+C44)*I44</f>
        <v/>
      </c>
      <c r="L44" s="17">
        <f>(G44-D44)*I44</f>
        <v/>
      </c>
      <c r="M44" s="17">
        <f>F44*I44</f>
        <v/>
      </c>
    </row>
    <row r="45">
      <c r="A45" t="n">
        <v>40</v>
      </c>
      <c r="B45" s="17">
        <f>IF(A45&lt;=Inputs!$D$10,Inputs!$D$9/Inputs!$D$10,0)</f>
        <v/>
      </c>
      <c r="C45" s="17">
        <f>IF(A45=Inputs!$D$10,Inputs!$D$8*Inputs!$D$6/1e6,0)</f>
        <v/>
      </c>
      <c r="D45" s="17">
        <f>IF(AND(A45&gt;(Inputs!$D$10+Inputs!$D$11),A45&lt;=(Inputs!$D$10+Inputs!$D$11)+Inputs!$D$16),Inputs!$D$17,0)</f>
        <v/>
      </c>
      <c r="E45" s="17">
        <f>IF(AND(A45&gt;(Inputs!$D$10+Inputs!$D$11),A45&lt;=(Inputs!$D$10+Inputs!$D$11)+Inputs!$D$16),Inputs!$D$13*Inputs!$D$14,0)</f>
        <v/>
      </c>
      <c r="F45" s="17">
        <f>IF(AND(A45&gt;(Inputs!$D$10+Inputs!$D$11)+Inputs!$D$12,A45&lt;=(Inputs!$D$10+Inputs!$D$11)+Inputs!$D$12+Inputs!$D$16),Inputs!$D$13*Inputs!$D$14*Inputs!$D$15,0)</f>
        <v/>
      </c>
      <c r="G45" s="17">
        <f>F45*1000*Inputs!$D$7/1e6</f>
        <v/>
      </c>
      <c r="H45" s="17">
        <f>G45-B45-C45-D45</f>
        <v/>
      </c>
      <c r="I45" s="18">
        <f>1/(1+Inputs!$D$18)^A45</f>
        <v/>
      </c>
      <c r="J45" s="17">
        <f>H45*I45</f>
        <v/>
      </c>
      <c r="K45" s="17">
        <f>(B45+C45)*I45</f>
        <v/>
      </c>
      <c r="L45" s="17">
        <f>(G45-D45)*I45</f>
        <v/>
      </c>
      <c r="M45" s="17">
        <f>F45*I45</f>
        <v/>
      </c>
    </row>
    <row r="47">
      <c r="A47" s="4" t="inlineStr">
        <is>
          <t>NPV ($M)</t>
        </is>
      </c>
      <c r="B47" s="19">
        <f>SUM(J6:J45)</f>
        <v/>
      </c>
    </row>
    <row r="48">
      <c r="A48" s="4" t="inlineStr">
        <is>
          <t>PV capex + launch ($M)</t>
        </is>
      </c>
      <c r="B48" s="19">
        <f>SUM(K6:K45)</f>
        <v/>
      </c>
    </row>
    <row r="49">
      <c r="A49" s="4" t="inlineStr">
        <is>
          <t>PV revenue - opex ($M)</t>
        </is>
      </c>
      <c r="B49" s="19">
        <f>SUM(L6:L45)</f>
        <v/>
      </c>
    </row>
    <row r="50">
      <c r="A50" s="4" t="inlineStr">
        <is>
          <t>Risk-adjusted NPV ($M)</t>
        </is>
      </c>
      <c r="B50" s="19">
        <f>-B48+Inputs!$D$19*B49</f>
        <v/>
      </c>
    </row>
    <row r="51">
      <c r="A51" s="4" t="inlineStr">
        <is>
          <t>Total metal delivered (t)</t>
        </is>
      </c>
      <c r="B51" s="19">
        <f>SUM(F6:F45)</f>
        <v/>
      </c>
    </row>
    <row r="52">
      <c r="A52" s="4" t="inlineStr">
        <is>
          <t>First delivery year</t>
        </is>
      </c>
      <c r="B52" s="19">
        <f>IFERROR(INDEX(A6:A45,MATCH(TRUE,INDEX(F6:F45&gt;0,0),0)),"none")</f>
        <v/>
      </c>
    </row>
    <row r="53">
      <c r="A53" s="4" t="inlineStr">
        <is>
          <t>Break-even in-orbit value ($/kg)</t>
        </is>
      </c>
      <c r="B53" s="19">
        <f>IFERROR((B48+SUMPRODUCT(D6:D45,I6:I45))*1e6/(SUM(M6:M45)*1000),"n/a")</f>
        <v/>
      </c>
    </row>
    <row r="54">
      <c r="A54" s="4" t="inlineStr">
        <is>
          <t>Break-even value / launch cost (x)</t>
        </is>
      </c>
      <c r="B54" s="19">
        <f>IFERROR(B53/Inputs!$D$6,"n/a")</f>
        <v/>
      </c>
    </row>
    <row r="55">
      <c r="A55" s="4" t="inlineStr">
        <is>
          <t>Undiscounted cumulative cash ($M)</t>
        </is>
      </c>
      <c r="B55" s="19">
        <f>SUM(H6:H45)</f>
        <v/>
      </c>
    </row>
    <row r="57">
      <c r="A57" s="20" t="inlineStr">
        <is>
          <t>Illustrative scenario output driven entirely by user assumptions on the Inputs sheet. Not a valuation of any company or asset.</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57"/>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Bull scenario — annual cash flow (illustrative)</t>
        </is>
      </c>
    </row>
    <row r="2">
      <c r="A2" s="2" t="inlineStr">
        <is>
          <t>All values driven by Inputs!E. Currency: US$ millions unless stated. SCENARIO OUTPUT, NOT A FORECAST.</t>
        </is>
      </c>
    </row>
    <row r="3">
      <c r="A3" s="3" t="inlineStr">
        <is>
          <t>Space Resource Intelligence, published by 10timesIt LLC | 16psyche.space | SAMPLE EDITION — illustrative scenarios driven by user assumptions; not investment advice; outputs are not facts.</t>
        </is>
      </c>
    </row>
    <row r="5">
      <c r="A5" s="6" t="inlineStr">
        <is>
          <t>Year</t>
        </is>
      </c>
      <c r="B5" s="6" t="inlineStr">
        <is>
          <t>Capex ($M)</t>
        </is>
      </c>
      <c r="C5" s="6" t="inlineStr">
        <is>
          <t>Launch ($M)</t>
        </is>
      </c>
      <c r="D5" s="6" t="inlineStr">
        <is>
          <t>Opex ($M)</t>
        </is>
      </c>
      <c r="E5" s="6" t="inlineStr">
        <is>
          <t>Metal shipped (t)</t>
        </is>
      </c>
      <c r="F5" s="6" t="inlineStr">
        <is>
          <t>Metal delivered (t)</t>
        </is>
      </c>
      <c r="G5" s="6" t="inlineStr">
        <is>
          <t>Revenue ($M)</t>
        </is>
      </c>
      <c r="H5" s="6" t="inlineStr">
        <is>
          <t>Net cash flow ($M)</t>
        </is>
      </c>
      <c r="I5" s="6" t="inlineStr">
        <is>
          <t>Discount factor</t>
        </is>
      </c>
      <c r="J5" s="6" t="inlineStr">
        <is>
          <t>PV net ($M)</t>
        </is>
      </c>
      <c r="K5" s="6" t="inlineStr">
        <is>
          <t>PV capex+launch ($M)</t>
        </is>
      </c>
      <c r="L5" s="6" t="inlineStr">
        <is>
          <t>PV revenue-opex ($M)</t>
        </is>
      </c>
      <c r="M5" s="6" t="inlineStr">
        <is>
          <t>PV delivered (t)</t>
        </is>
      </c>
    </row>
    <row r="6">
      <c r="A6" t="n">
        <v>1</v>
      </c>
      <c r="B6" s="17">
        <f>IF(A6&lt;=Inputs!$E$10,Inputs!$E$9/Inputs!$E$10,0)</f>
        <v/>
      </c>
      <c r="C6" s="17">
        <f>IF(A6=Inputs!$E$10,Inputs!$E$8*Inputs!$E$6/1e6,0)</f>
        <v/>
      </c>
      <c r="D6" s="17">
        <f>IF(AND(A6&gt;(Inputs!$E$10+Inputs!$E$11),A6&lt;=(Inputs!$E$10+Inputs!$E$11)+Inputs!$E$16),Inputs!$E$17,0)</f>
        <v/>
      </c>
      <c r="E6" s="17">
        <f>IF(AND(A6&gt;(Inputs!$E$10+Inputs!$E$11),A6&lt;=(Inputs!$E$10+Inputs!$E$11)+Inputs!$E$16),Inputs!$E$13*Inputs!$E$14,0)</f>
        <v/>
      </c>
      <c r="F6" s="17">
        <f>IF(AND(A6&gt;(Inputs!$E$10+Inputs!$E$11)+Inputs!$E$12,A6&lt;=(Inputs!$E$10+Inputs!$E$11)+Inputs!$E$12+Inputs!$E$16),Inputs!$E$13*Inputs!$E$14*Inputs!$E$15,0)</f>
        <v/>
      </c>
      <c r="G6" s="17">
        <f>F6*1000*Inputs!$E$7/1e6</f>
        <v/>
      </c>
      <c r="H6" s="17">
        <f>G6-B6-C6-D6</f>
        <v/>
      </c>
      <c r="I6" s="18">
        <f>1/(1+Inputs!$E$18)^A6</f>
        <v/>
      </c>
      <c r="J6" s="17">
        <f>H6*I6</f>
        <v/>
      </c>
      <c r="K6" s="17">
        <f>(B6+C6)*I6</f>
        <v/>
      </c>
      <c r="L6" s="17">
        <f>(G6-D6)*I6</f>
        <v/>
      </c>
      <c r="M6" s="17">
        <f>F6*I6</f>
        <v/>
      </c>
    </row>
    <row r="7">
      <c r="A7" t="n">
        <v>2</v>
      </c>
      <c r="B7" s="17">
        <f>IF(A7&lt;=Inputs!$E$10,Inputs!$E$9/Inputs!$E$10,0)</f>
        <v/>
      </c>
      <c r="C7" s="17">
        <f>IF(A7=Inputs!$E$10,Inputs!$E$8*Inputs!$E$6/1e6,0)</f>
        <v/>
      </c>
      <c r="D7" s="17">
        <f>IF(AND(A7&gt;(Inputs!$E$10+Inputs!$E$11),A7&lt;=(Inputs!$E$10+Inputs!$E$11)+Inputs!$E$16),Inputs!$E$17,0)</f>
        <v/>
      </c>
      <c r="E7" s="17">
        <f>IF(AND(A7&gt;(Inputs!$E$10+Inputs!$E$11),A7&lt;=(Inputs!$E$10+Inputs!$E$11)+Inputs!$E$16),Inputs!$E$13*Inputs!$E$14,0)</f>
        <v/>
      </c>
      <c r="F7" s="17">
        <f>IF(AND(A7&gt;(Inputs!$E$10+Inputs!$E$11)+Inputs!$E$12,A7&lt;=(Inputs!$E$10+Inputs!$E$11)+Inputs!$E$12+Inputs!$E$16),Inputs!$E$13*Inputs!$E$14*Inputs!$E$15,0)</f>
        <v/>
      </c>
      <c r="G7" s="17">
        <f>F7*1000*Inputs!$E$7/1e6</f>
        <v/>
      </c>
      <c r="H7" s="17">
        <f>G7-B7-C7-D7</f>
        <v/>
      </c>
      <c r="I7" s="18">
        <f>1/(1+Inputs!$E$18)^A7</f>
        <v/>
      </c>
      <c r="J7" s="17">
        <f>H7*I7</f>
        <v/>
      </c>
      <c r="K7" s="17">
        <f>(B7+C7)*I7</f>
        <v/>
      </c>
      <c r="L7" s="17">
        <f>(G7-D7)*I7</f>
        <v/>
      </c>
      <c r="M7" s="17">
        <f>F7*I7</f>
        <v/>
      </c>
    </row>
    <row r="8">
      <c r="A8" t="n">
        <v>3</v>
      </c>
      <c r="B8" s="17">
        <f>IF(A8&lt;=Inputs!$E$10,Inputs!$E$9/Inputs!$E$10,0)</f>
        <v/>
      </c>
      <c r="C8" s="17">
        <f>IF(A8=Inputs!$E$10,Inputs!$E$8*Inputs!$E$6/1e6,0)</f>
        <v/>
      </c>
      <c r="D8" s="17">
        <f>IF(AND(A8&gt;(Inputs!$E$10+Inputs!$E$11),A8&lt;=(Inputs!$E$10+Inputs!$E$11)+Inputs!$E$16),Inputs!$E$17,0)</f>
        <v/>
      </c>
      <c r="E8" s="17">
        <f>IF(AND(A8&gt;(Inputs!$E$10+Inputs!$E$11),A8&lt;=(Inputs!$E$10+Inputs!$E$11)+Inputs!$E$16),Inputs!$E$13*Inputs!$E$14,0)</f>
        <v/>
      </c>
      <c r="F8" s="17">
        <f>IF(AND(A8&gt;(Inputs!$E$10+Inputs!$E$11)+Inputs!$E$12,A8&lt;=(Inputs!$E$10+Inputs!$E$11)+Inputs!$E$12+Inputs!$E$16),Inputs!$E$13*Inputs!$E$14*Inputs!$E$15,0)</f>
        <v/>
      </c>
      <c r="G8" s="17">
        <f>F8*1000*Inputs!$E$7/1e6</f>
        <v/>
      </c>
      <c r="H8" s="17">
        <f>G8-B8-C8-D8</f>
        <v/>
      </c>
      <c r="I8" s="18">
        <f>1/(1+Inputs!$E$18)^A8</f>
        <v/>
      </c>
      <c r="J8" s="17">
        <f>H8*I8</f>
        <v/>
      </c>
      <c r="K8" s="17">
        <f>(B8+C8)*I8</f>
        <v/>
      </c>
      <c r="L8" s="17">
        <f>(G8-D8)*I8</f>
        <v/>
      </c>
      <c r="M8" s="17">
        <f>F8*I8</f>
        <v/>
      </c>
    </row>
    <row r="9">
      <c r="A9" t="n">
        <v>4</v>
      </c>
      <c r="B9" s="17">
        <f>IF(A9&lt;=Inputs!$E$10,Inputs!$E$9/Inputs!$E$10,0)</f>
        <v/>
      </c>
      <c r="C9" s="17">
        <f>IF(A9=Inputs!$E$10,Inputs!$E$8*Inputs!$E$6/1e6,0)</f>
        <v/>
      </c>
      <c r="D9" s="17">
        <f>IF(AND(A9&gt;(Inputs!$E$10+Inputs!$E$11),A9&lt;=(Inputs!$E$10+Inputs!$E$11)+Inputs!$E$16),Inputs!$E$17,0)</f>
        <v/>
      </c>
      <c r="E9" s="17">
        <f>IF(AND(A9&gt;(Inputs!$E$10+Inputs!$E$11),A9&lt;=(Inputs!$E$10+Inputs!$E$11)+Inputs!$E$16),Inputs!$E$13*Inputs!$E$14,0)</f>
        <v/>
      </c>
      <c r="F9" s="17">
        <f>IF(AND(A9&gt;(Inputs!$E$10+Inputs!$E$11)+Inputs!$E$12,A9&lt;=(Inputs!$E$10+Inputs!$E$11)+Inputs!$E$12+Inputs!$E$16),Inputs!$E$13*Inputs!$E$14*Inputs!$E$15,0)</f>
        <v/>
      </c>
      <c r="G9" s="17">
        <f>F9*1000*Inputs!$E$7/1e6</f>
        <v/>
      </c>
      <c r="H9" s="17">
        <f>G9-B9-C9-D9</f>
        <v/>
      </c>
      <c r="I9" s="18">
        <f>1/(1+Inputs!$E$18)^A9</f>
        <v/>
      </c>
      <c r="J9" s="17">
        <f>H9*I9</f>
        <v/>
      </c>
      <c r="K9" s="17">
        <f>(B9+C9)*I9</f>
        <v/>
      </c>
      <c r="L9" s="17">
        <f>(G9-D9)*I9</f>
        <v/>
      </c>
      <c r="M9" s="17">
        <f>F9*I9</f>
        <v/>
      </c>
    </row>
    <row r="10">
      <c r="A10" t="n">
        <v>5</v>
      </c>
      <c r="B10" s="17">
        <f>IF(A10&lt;=Inputs!$E$10,Inputs!$E$9/Inputs!$E$10,0)</f>
        <v/>
      </c>
      <c r="C10" s="17">
        <f>IF(A10=Inputs!$E$10,Inputs!$E$8*Inputs!$E$6/1e6,0)</f>
        <v/>
      </c>
      <c r="D10" s="17">
        <f>IF(AND(A10&gt;(Inputs!$E$10+Inputs!$E$11),A10&lt;=(Inputs!$E$10+Inputs!$E$11)+Inputs!$E$16),Inputs!$E$17,0)</f>
        <v/>
      </c>
      <c r="E10" s="17">
        <f>IF(AND(A10&gt;(Inputs!$E$10+Inputs!$E$11),A10&lt;=(Inputs!$E$10+Inputs!$E$11)+Inputs!$E$16),Inputs!$E$13*Inputs!$E$14,0)</f>
        <v/>
      </c>
      <c r="F10" s="17">
        <f>IF(AND(A10&gt;(Inputs!$E$10+Inputs!$E$11)+Inputs!$E$12,A10&lt;=(Inputs!$E$10+Inputs!$E$11)+Inputs!$E$12+Inputs!$E$16),Inputs!$E$13*Inputs!$E$14*Inputs!$E$15,0)</f>
        <v/>
      </c>
      <c r="G10" s="17">
        <f>F10*1000*Inputs!$E$7/1e6</f>
        <v/>
      </c>
      <c r="H10" s="17">
        <f>G10-B10-C10-D10</f>
        <v/>
      </c>
      <c r="I10" s="18">
        <f>1/(1+Inputs!$E$18)^A10</f>
        <v/>
      </c>
      <c r="J10" s="17">
        <f>H10*I10</f>
        <v/>
      </c>
      <c r="K10" s="17">
        <f>(B10+C10)*I10</f>
        <v/>
      </c>
      <c r="L10" s="17">
        <f>(G10-D10)*I10</f>
        <v/>
      </c>
      <c r="M10" s="17">
        <f>F10*I10</f>
        <v/>
      </c>
    </row>
    <row r="11">
      <c r="A11" t="n">
        <v>6</v>
      </c>
      <c r="B11" s="17">
        <f>IF(A11&lt;=Inputs!$E$10,Inputs!$E$9/Inputs!$E$10,0)</f>
        <v/>
      </c>
      <c r="C11" s="17">
        <f>IF(A11=Inputs!$E$10,Inputs!$E$8*Inputs!$E$6/1e6,0)</f>
        <v/>
      </c>
      <c r="D11" s="17">
        <f>IF(AND(A11&gt;(Inputs!$E$10+Inputs!$E$11),A11&lt;=(Inputs!$E$10+Inputs!$E$11)+Inputs!$E$16),Inputs!$E$17,0)</f>
        <v/>
      </c>
      <c r="E11" s="17">
        <f>IF(AND(A11&gt;(Inputs!$E$10+Inputs!$E$11),A11&lt;=(Inputs!$E$10+Inputs!$E$11)+Inputs!$E$16),Inputs!$E$13*Inputs!$E$14,0)</f>
        <v/>
      </c>
      <c r="F11" s="17">
        <f>IF(AND(A11&gt;(Inputs!$E$10+Inputs!$E$11)+Inputs!$E$12,A11&lt;=(Inputs!$E$10+Inputs!$E$11)+Inputs!$E$12+Inputs!$E$16),Inputs!$E$13*Inputs!$E$14*Inputs!$E$15,0)</f>
        <v/>
      </c>
      <c r="G11" s="17">
        <f>F11*1000*Inputs!$E$7/1e6</f>
        <v/>
      </c>
      <c r="H11" s="17">
        <f>G11-B11-C11-D11</f>
        <v/>
      </c>
      <c r="I11" s="18">
        <f>1/(1+Inputs!$E$18)^A11</f>
        <v/>
      </c>
      <c r="J11" s="17">
        <f>H11*I11</f>
        <v/>
      </c>
      <c r="K11" s="17">
        <f>(B11+C11)*I11</f>
        <v/>
      </c>
      <c r="L11" s="17">
        <f>(G11-D11)*I11</f>
        <v/>
      </c>
      <c r="M11" s="17">
        <f>F11*I11</f>
        <v/>
      </c>
    </row>
    <row r="12">
      <c r="A12" t="n">
        <v>7</v>
      </c>
      <c r="B12" s="17">
        <f>IF(A12&lt;=Inputs!$E$10,Inputs!$E$9/Inputs!$E$10,0)</f>
        <v/>
      </c>
      <c r="C12" s="17">
        <f>IF(A12=Inputs!$E$10,Inputs!$E$8*Inputs!$E$6/1e6,0)</f>
        <v/>
      </c>
      <c r="D12" s="17">
        <f>IF(AND(A12&gt;(Inputs!$E$10+Inputs!$E$11),A12&lt;=(Inputs!$E$10+Inputs!$E$11)+Inputs!$E$16),Inputs!$E$17,0)</f>
        <v/>
      </c>
      <c r="E12" s="17">
        <f>IF(AND(A12&gt;(Inputs!$E$10+Inputs!$E$11),A12&lt;=(Inputs!$E$10+Inputs!$E$11)+Inputs!$E$16),Inputs!$E$13*Inputs!$E$14,0)</f>
        <v/>
      </c>
      <c r="F12" s="17">
        <f>IF(AND(A12&gt;(Inputs!$E$10+Inputs!$E$11)+Inputs!$E$12,A12&lt;=(Inputs!$E$10+Inputs!$E$11)+Inputs!$E$12+Inputs!$E$16),Inputs!$E$13*Inputs!$E$14*Inputs!$E$15,0)</f>
        <v/>
      </c>
      <c r="G12" s="17">
        <f>F12*1000*Inputs!$E$7/1e6</f>
        <v/>
      </c>
      <c r="H12" s="17">
        <f>G12-B12-C12-D12</f>
        <v/>
      </c>
      <c r="I12" s="18">
        <f>1/(1+Inputs!$E$18)^A12</f>
        <v/>
      </c>
      <c r="J12" s="17">
        <f>H12*I12</f>
        <v/>
      </c>
      <c r="K12" s="17">
        <f>(B12+C12)*I12</f>
        <v/>
      </c>
      <c r="L12" s="17">
        <f>(G12-D12)*I12</f>
        <v/>
      </c>
      <c r="M12" s="17">
        <f>F12*I12</f>
        <v/>
      </c>
    </row>
    <row r="13">
      <c r="A13" t="n">
        <v>8</v>
      </c>
      <c r="B13" s="17">
        <f>IF(A13&lt;=Inputs!$E$10,Inputs!$E$9/Inputs!$E$10,0)</f>
        <v/>
      </c>
      <c r="C13" s="17">
        <f>IF(A13=Inputs!$E$10,Inputs!$E$8*Inputs!$E$6/1e6,0)</f>
        <v/>
      </c>
      <c r="D13" s="17">
        <f>IF(AND(A13&gt;(Inputs!$E$10+Inputs!$E$11),A13&lt;=(Inputs!$E$10+Inputs!$E$11)+Inputs!$E$16),Inputs!$E$17,0)</f>
        <v/>
      </c>
      <c r="E13" s="17">
        <f>IF(AND(A13&gt;(Inputs!$E$10+Inputs!$E$11),A13&lt;=(Inputs!$E$10+Inputs!$E$11)+Inputs!$E$16),Inputs!$E$13*Inputs!$E$14,0)</f>
        <v/>
      </c>
      <c r="F13" s="17">
        <f>IF(AND(A13&gt;(Inputs!$E$10+Inputs!$E$11)+Inputs!$E$12,A13&lt;=(Inputs!$E$10+Inputs!$E$11)+Inputs!$E$12+Inputs!$E$16),Inputs!$E$13*Inputs!$E$14*Inputs!$E$15,0)</f>
        <v/>
      </c>
      <c r="G13" s="17">
        <f>F13*1000*Inputs!$E$7/1e6</f>
        <v/>
      </c>
      <c r="H13" s="17">
        <f>G13-B13-C13-D13</f>
        <v/>
      </c>
      <c r="I13" s="18">
        <f>1/(1+Inputs!$E$18)^A13</f>
        <v/>
      </c>
      <c r="J13" s="17">
        <f>H13*I13</f>
        <v/>
      </c>
      <c r="K13" s="17">
        <f>(B13+C13)*I13</f>
        <v/>
      </c>
      <c r="L13" s="17">
        <f>(G13-D13)*I13</f>
        <v/>
      </c>
      <c r="M13" s="17">
        <f>F13*I13</f>
        <v/>
      </c>
    </row>
    <row r="14">
      <c r="A14" t="n">
        <v>9</v>
      </c>
      <c r="B14" s="17">
        <f>IF(A14&lt;=Inputs!$E$10,Inputs!$E$9/Inputs!$E$10,0)</f>
        <v/>
      </c>
      <c r="C14" s="17">
        <f>IF(A14=Inputs!$E$10,Inputs!$E$8*Inputs!$E$6/1e6,0)</f>
        <v/>
      </c>
      <c r="D14" s="17">
        <f>IF(AND(A14&gt;(Inputs!$E$10+Inputs!$E$11),A14&lt;=(Inputs!$E$10+Inputs!$E$11)+Inputs!$E$16),Inputs!$E$17,0)</f>
        <v/>
      </c>
      <c r="E14" s="17">
        <f>IF(AND(A14&gt;(Inputs!$E$10+Inputs!$E$11),A14&lt;=(Inputs!$E$10+Inputs!$E$11)+Inputs!$E$16),Inputs!$E$13*Inputs!$E$14,0)</f>
        <v/>
      </c>
      <c r="F14" s="17">
        <f>IF(AND(A14&gt;(Inputs!$E$10+Inputs!$E$11)+Inputs!$E$12,A14&lt;=(Inputs!$E$10+Inputs!$E$11)+Inputs!$E$12+Inputs!$E$16),Inputs!$E$13*Inputs!$E$14*Inputs!$E$15,0)</f>
        <v/>
      </c>
      <c r="G14" s="17">
        <f>F14*1000*Inputs!$E$7/1e6</f>
        <v/>
      </c>
      <c r="H14" s="17">
        <f>G14-B14-C14-D14</f>
        <v/>
      </c>
      <c r="I14" s="18">
        <f>1/(1+Inputs!$E$18)^A14</f>
        <v/>
      </c>
      <c r="J14" s="17">
        <f>H14*I14</f>
        <v/>
      </c>
      <c r="K14" s="17">
        <f>(B14+C14)*I14</f>
        <v/>
      </c>
      <c r="L14" s="17">
        <f>(G14-D14)*I14</f>
        <v/>
      </c>
      <c r="M14" s="17">
        <f>F14*I14</f>
        <v/>
      </c>
    </row>
    <row r="15">
      <c r="A15" t="n">
        <v>10</v>
      </c>
      <c r="B15" s="17">
        <f>IF(A15&lt;=Inputs!$E$10,Inputs!$E$9/Inputs!$E$10,0)</f>
        <v/>
      </c>
      <c r="C15" s="17">
        <f>IF(A15=Inputs!$E$10,Inputs!$E$8*Inputs!$E$6/1e6,0)</f>
        <v/>
      </c>
      <c r="D15" s="17">
        <f>IF(AND(A15&gt;(Inputs!$E$10+Inputs!$E$11),A15&lt;=(Inputs!$E$10+Inputs!$E$11)+Inputs!$E$16),Inputs!$E$17,0)</f>
        <v/>
      </c>
      <c r="E15" s="17">
        <f>IF(AND(A15&gt;(Inputs!$E$10+Inputs!$E$11),A15&lt;=(Inputs!$E$10+Inputs!$E$11)+Inputs!$E$16),Inputs!$E$13*Inputs!$E$14,0)</f>
        <v/>
      </c>
      <c r="F15" s="17">
        <f>IF(AND(A15&gt;(Inputs!$E$10+Inputs!$E$11)+Inputs!$E$12,A15&lt;=(Inputs!$E$10+Inputs!$E$11)+Inputs!$E$12+Inputs!$E$16),Inputs!$E$13*Inputs!$E$14*Inputs!$E$15,0)</f>
        <v/>
      </c>
      <c r="G15" s="17">
        <f>F15*1000*Inputs!$E$7/1e6</f>
        <v/>
      </c>
      <c r="H15" s="17">
        <f>G15-B15-C15-D15</f>
        <v/>
      </c>
      <c r="I15" s="18">
        <f>1/(1+Inputs!$E$18)^A15</f>
        <v/>
      </c>
      <c r="J15" s="17">
        <f>H15*I15</f>
        <v/>
      </c>
      <c r="K15" s="17">
        <f>(B15+C15)*I15</f>
        <v/>
      </c>
      <c r="L15" s="17">
        <f>(G15-D15)*I15</f>
        <v/>
      </c>
      <c r="M15" s="17">
        <f>F15*I15</f>
        <v/>
      </c>
    </row>
    <row r="16">
      <c r="A16" t="n">
        <v>11</v>
      </c>
      <c r="B16" s="17">
        <f>IF(A16&lt;=Inputs!$E$10,Inputs!$E$9/Inputs!$E$10,0)</f>
        <v/>
      </c>
      <c r="C16" s="17">
        <f>IF(A16=Inputs!$E$10,Inputs!$E$8*Inputs!$E$6/1e6,0)</f>
        <v/>
      </c>
      <c r="D16" s="17">
        <f>IF(AND(A16&gt;(Inputs!$E$10+Inputs!$E$11),A16&lt;=(Inputs!$E$10+Inputs!$E$11)+Inputs!$E$16),Inputs!$E$17,0)</f>
        <v/>
      </c>
      <c r="E16" s="17">
        <f>IF(AND(A16&gt;(Inputs!$E$10+Inputs!$E$11),A16&lt;=(Inputs!$E$10+Inputs!$E$11)+Inputs!$E$16),Inputs!$E$13*Inputs!$E$14,0)</f>
        <v/>
      </c>
      <c r="F16" s="17">
        <f>IF(AND(A16&gt;(Inputs!$E$10+Inputs!$E$11)+Inputs!$E$12,A16&lt;=(Inputs!$E$10+Inputs!$E$11)+Inputs!$E$12+Inputs!$E$16),Inputs!$E$13*Inputs!$E$14*Inputs!$E$15,0)</f>
        <v/>
      </c>
      <c r="G16" s="17">
        <f>F16*1000*Inputs!$E$7/1e6</f>
        <v/>
      </c>
      <c r="H16" s="17">
        <f>G16-B16-C16-D16</f>
        <v/>
      </c>
      <c r="I16" s="18">
        <f>1/(1+Inputs!$E$18)^A16</f>
        <v/>
      </c>
      <c r="J16" s="17">
        <f>H16*I16</f>
        <v/>
      </c>
      <c r="K16" s="17">
        <f>(B16+C16)*I16</f>
        <v/>
      </c>
      <c r="L16" s="17">
        <f>(G16-D16)*I16</f>
        <v/>
      </c>
      <c r="M16" s="17">
        <f>F16*I16</f>
        <v/>
      </c>
    </row>
    <row r="17">
      <c r="A17" t="n">
        <v>12</v>
      </c>
      <c r="B17" s="17">
        <f>IF(A17&lt;=Inputs!$E$10,Inputs!$E$9/Inputs!$E$10,0)</f>
        <v/>
      </c>
      <c r="C17" s="17">
        <f>IF(A17=Inputs!$E$10,Inputs!$E$8*Inputs!$E$6/1e6,0)</f>
        <v/>
      </c>
      <c r="D17" s="17">
        <f>IF(AND(A17&gt;(Inputs!$E$10+Inputs!$E$11),A17&lt;=(Inputs!$E$10+Inputs!$E$11)+Inputs!$E$16),Inputs!$E$17,0)</f>
        <v/>
      </c>
      <c r="E17" s="17">
        <f>IF(AND(A17&gt;(Inputs!$E$10+Inputs!$E$11),A17&lt;=(Inputs!$E$10+Inputs!$E$11)+Inputs!$E$16),Inputs!$E$13*Inputs!$E$14,0)</f>
        <v/>
      </c>
      <c r="F17" s="17">
        <f>IF(AND(A17&gt;(Inputs!$E$10+Inputs!$E$11)+Inputs!$E$12,A17&lt;=(Inputs!$E$10+Inputs!$E$11)+Inputs!$E$12+Inputs!$E$16),Inputs!$E$13*Inputs!$E$14*Inputs!$E$15,0)</f>
        <v/>
      </c>
      <c r="G17" s="17">
        <f>F17*1000*Inputs!$E$7/1e6</f>
        <v/>
      </c>
      <c r="H17" s="17">
        <f>G17-B17-C17-D17</f>
        <v/>
      </c>
      <c r="I17" s="18">
        <f>1/(1+Inputs!$E$18)^A17</f>
        <v/>
      </c>
      <c r="J17" s="17">
        <f>H17*I17</f>
        <v/>
      </c>
      <c r="K17" s="17">
        <f>(B17+C17)*I17</f>
        <v/>
      </c>
      <c r="L17" s="17">
        <f>(G17-D17)*I17</f>
        <v/>
      </c>
      <c r="M17" s="17">
        <f>F17*I17</f>
        <v/>
      </c>
    </row>
    <row r="18">
      <c r="A18" t="n">
        <v>13</v>
      </c>
      <c r="B18" s="17">
        <f>IF(A18&lt;=Inputs!$E$10,Inputs!$E$9/Inputs!$E$10,0)</f>
        <v/>
      </c>
      <c r="C18" s="17">
        <f>IF(A18=Inputs!$E$10,Inputs!$E$8*Inputs!$E$6/1e6,0)</f>
        <v/>
      </c>
      <c r="D18" s="17">
        <f>IF(AND(A18&gt;(Inputs!$E$10+Inputs!$E$11),A18&lt;=(Inputs!$E$10+Inputs!$E$11)+Inputs!$E$16),Inputs!$E$17,0)</f>
        <v/>
      </c>
      <c r="E18" s="17">
        <f>IF(AND(A18&gt;(Inputs!$E$10+Inputs!$E$11),A18&lt;=(Inputs!$E$10+Inputs!$E$11)+Inputs!$E$16),Inputs!$E$13*Inputs!$E$14,0)</f>
        <v/>
      </c>
      <c r="F18" s="17">
        <f>IF(AND(A18&gt;(Inputs!$E$10+Inputs!$E$11)+Inputs!$E$12,A18&lt;=(Inputs!$E$10+Inputs!$E$11)+Inputs!$E$12+Inputs!$E$16),Inputs!$E$13*Inputs!$E$14*Inputs!$E$15,0)</f>
        <v/>
      </c>
      <c r="G18" s="17">
        <f>F18*1000*Inputs!$E$7/1e6</f>
        <v/>
      </c>
      <c r="H18" s="17">
        <f>G18-B18-C18-D18</f>
        <v/>
      </c>
      <c r="I18" s="18">
        <f>1/(1+Inputs!$E$18)^A18</f>
        <v/>
      </c>
      <c r="J18" s="17">
        <f>H18*I18</f>
        <v/>
      </c>
      <c r="K18" s="17">
        <f>(B18+C18)*I18</f>
        <v/>
      </c>
      <c r="L18" s="17">
        <f>(G18-D18)*I18</f>
        <v/>
      </c>
      <c r="M18" s="17">
        <f>F18*I18</f>
        <v/>
      </c>
    </row>
    <row r="19">
      <c r="A19" t="n">
        <v>14</v>
      </c>
      <c r="B19" s="17">
        <f>IF(A19&lt;=Inputs!$E$10,Inputs!$E$9/Inputs!$E$10,0)</f>
        <v/>
      </c>
      <c r="C19" s="17">
        <f>IF(A19=Inputs!$E$10,Inputs!$E$8*Inputs!$E$6/1e6,0)</f>
        <v/>
      </c>
      <c r="D19" s="17">
        <f>IF(AND(A19&gt;(Inputs!$E$10+Inputs!$E$11),A19&lt;=(Inputs!$E$10+Inputs!$E$11)+Inputs!$E$16),Inputs!$E$17,0)</f>
        <v/>
      </c>
      <c r="E19" s="17">
        <f>IF(AND(A19&gt;(Inputs!$E$10+Inputs!$E$11),A19&lt;=(Inputs!$E$10+Inputs!$E$11)+Inputs!$E$16),Inputs!$E$13*Inputs!$E$14,0)</f>
        <v/>
      </c>
      <c r="F19" s="17">
        <f>IF(AND(A19&gt;(Inputs!$E$10+Inputs!$E$11)+Inputs!$E$12,A19&lt;=(Inputs!$E$10+Inputs!$E$11)+Inputs!$E$12+Inputs!$E$16),Inputs!$E$13*Inputs!$E$14*Inputs!$E$15,0)</f>
        <v/>
      </c>
      <c r="G19" s="17">
        <f>F19*1000*Inputs!$E$7/1e6</f>
        <v/>
      </c>
      <c r="H19" s="17">
        <f>G19-B19-C19-D19</f>
        <v/>
      </c>
      <c r="I19" s="18">
        <f>1/(1+Inputs!$E$18)^A19</f>
        <v/>
      </c>
      <c r="J19" s="17">
        <f>H19*I19</f>
        <v/>
      </c>
      <c r="K19" s="17">
        <f>(B19+C19)*I19</f>
        <v/>
      </c>
      <c r="L19" s="17">
        <f>(G19-D19)*I19</f>
        <v/>
      </c>
      <c r="M19" s="17">
        <f>F19*I19</f>
        <v/>
      </c>
    </row>
    <row r="20">
      <c r="A20" t="n">
        <v>15</v>
      </c>
      <c r="B20" s="17">
        <f>IF(A20&lt;=Inputs!$E$10,Inputs!$E$9/Inputs!$E$10,0)</f>
        <v/>
      </c>
      <c r="C20" s="17">
        <f>IF(A20=Inputs!$E$10,Inputs!$E$8*Inputs!$E$6/1e6,0)</f>
        <v/>
      </c>
      <c r="D20" s="17">
        <f>IF(AND(A20&gt;(Inputs!$E$10+Inputs!$E$11),A20&lt;=(Inputs!$E$10+Inputs!$E$11)+Inputs!$E$16),Inputs!$E$17,0)</f>
        <v/>
      </c>
      <c r="E20" s="17">
        <f>IF(AND(A20&gt;(Inputs!$E$10+Inputs!$E$11),A20&lt;=(Inputs!$E$10+Inputs!$E$11)+Inputs!$E$16),Inputs!$E$13*Inputs!$E$14,0)</f>
        <v/>
      </c>
      <c r="F20" s="17">
        <f>IF(AND(A20&gt;(Inputs!$E$10+Inputs!$E$11)+Inputs!$E$12,A20&lt;=(Inputs!$E$10+Inputs!$E$11)+Inputs!$E$12+Inputs!$E$16),Inputs!$E$13*Inputs!$E$14*Inputs!$E$15,0)</f>
        <v/>
      </c>
      <c r="G20" s="17">
        <f>F20*1000*Inputs!$E$7/1e6</f>
        <v/>
      </c>
      <c r="H20" s="17">
        <f>G20-B20-C20-D20</f>
        <v/>
      </c>
      <c r="I20" s="18">
        <f>1/(1+Inputs!$E$18)^A20</f>
        <v/>
      </c>
      <c r="J20" s="17">
        <f>H20*I20</f>
        <v/>
      </c>
      <c r="K20" s="17">
        <f>(B20+C20)*I20</f>
        <v/>
      </c>
      <c r="L20" s="17">
        <f>(G20-D20)*I20</f>
        <v/>
      </c>
      <c r="M20" s="17">
        <f>F20*I20</f>
        <v/>
      </c>
    </row>
    <row r="21">
      <c r="A21" t="n">
        <v>16</v>
      </c>
      <c r="B21" s="17">
        <f>IF(A21&lt;=Inputs!$E$10,Inputs!$E$9/Inputs!$E$10,0)</f>
        <v/>
      </c>
      <c r="C21" s="17">
        <f>IF(A21=Inputs!$E$10,Inputs!$E$8*Inputs!$E$6/1e6,0)</f>
        <v/>
      </c>
      <c r="D21" s="17">
        <f>IF(AND(A21&gt;(Inputs!$E$10+Inputs!$E$11),A21&lt;=(Inputs!$E$10+Inputs!$E$11)+Inputs!$E$16),Inputs!$E$17,0)</f>
        <v/>
      </c>
      <c r="E21" s="17">
        <f>IF(AND(A21&gt;(Inputs!$E$10+Inputs!$E$11),A21&lt;=(Inputs!$E$10+Inputs!$E$11)+Inputs!$E$16),Inputs!$E$13*Inputs!$E$14,0)</f>
        <v/>
      </c>
      <c r="F21" s="17">
        <f>IF(AND(A21&gt;(Inputs!$E$10+Inputs!$E$11)+Inputs!$E$12,A21&lt;=(Inputs!$E$10+Inputs!$E$11)+Inputs!$E$12+Inputs!$E$16),Inputs!$E$13*Inputs!$E$14*Inputs!$E$15,0)</f>
        <v/>
      </c>
      <c r="G21" s="17">
        <f>F21*1000*Inputs!$E$7/1e6</f>
        <v/>
      </c>
      <c r="H21" s="17">
        <f>G21-B21-C21-D21</f>
        <v/>
      </c>
      <c r="I21" s="18">
        <f>1/(1+Inputs!$E$18)^A21</f>
        <v/>
      </c>
      <c r="J21" s="17">
        <f>H21*I21</f>
        <v/>
      </c>
      <c r="K21" s="17">
        <f>(B21+C21)*I21</f>
        <v/>
      </c>
      <c r="L21" s="17">
        <f>(G21-D21)*I21</f>
        <v/>
      </c>
      <c r="M21" s="17">
        <f>F21*I21</f>
        <v/>
      </c>
    </row>
    <row r="22">
      <c r="A22" t="n">
        <v>17</v>
      </c>
      <c r="B22" s="17">
        <f>IF(A22&lt;=Inputs!$E$10,Inputs!$E$9/Inputs!$E$10,0)</f>
        <v/>
      </c>
      <c r="C22" s="17">
        <f>IF(A22=Inputs!$E$10,Inputs!$E$8*Inputs!$E$6/1e6,0)</f>
        <v/>
      </c>
      <c r="D22" s="17">
        <f>IF(AND(A22&gt;(Inputs!$E$10+Inputs!$E$11),A22&lt;=(Inputs!$E$10+Inputs!$E$11)+Inputs!$E$16),Inputs!$E$17,0)</f>
        <v/>
      </c>
      <c r="E22" s="17">
        <f>IF(AND(A22&gt;(Inputs!$E$10+Inputs!$E$11),A22&lt;=(Inputs!$E$10+Inputs!$E$11)+Inputs!$E$16),Inputs!$E$13*Inputs!$E$14,0)</f>
        <v/>
      </c>
      <c r="F22" s="17">
        <f>IF(AND(A22&gt;(Inputs!$E$10+Inputs!$E$11)+Inputs!$E$12,A22&lt;=(Inputs!$E$10+Inputs!$E$11)+Inputs!$E$12+Inputs!$E$16),Inputs!$E$13*Inputs!$E$14*Inputs!$E$15,0)</f>
        <v/>
      </c>
      <c r="G22" s="17">
        <f>F22*1000*Inputs!$E$7/1e6</f>
        <v/>
      </c>
      <c r="H22" s="17">
        <f>G22-B22-C22-D22</f>
        <v/>
      </c>
      <c r="I22" s="18">
        <f>1/(1+Inputs!$E$18)^A22</f>
        <v/>
      </c>
      <c r="J22" s="17">
        <f>H22*I22</f>
        <v/>
      </c>
      <c r="K22" s="17">
        <f>(B22+C22)*I22</f>
        <v/>
      </c>
      <c r="L22" s="17">
        <f>(G22-D22)*I22</f>
        <v/>
      </c>
      <c r="M22" s="17">
        <f>F22*I22</f>
        <v/>
      </c>
    </row>
    <row r="23">
      <c r="A23" t="n">
        <v>18</v>
      </c>
      <c r="B23" s="17">
        <f>IF(A23&lt;=Inputs!$E$10,Inputs!$E$9/Inputs!$E$10,0)</f>
        <v/>
      </c>
      <c r="C23" s="17">
        <f>IF(A23=Inputs!$E$10,Inputs!$E$8*Inputs!$E$6/1e6,0)</f>
        <v/>
      </c>
      <c r="D23" s="17">
        <f>IF(AND(A23&gt;(Inputs!$E$10+Inputs!$E$11),A23&lt;=(Inputs!$E$10+Inputs!$E$11)+Inputs!$E$16),Inputs!$E$17,0)</f>
        <v/>
      </c>
      <c r="E23" s="17">
        <f>IF(AND(A23&gt;(Inputs!$E$10+Inputs!$E$11),A23&lt;=(Inputs!$E$10+Inputs!$E$11)+Inputs!$E$16),Inputs!$E$13*Inputs!$E$14,0)</f>
        <v/>
      </c>
      <c r="F23" s="17">
        <f>IF(AND(A23&gt;(Inputs!$E$10+Inputs!$E$11)+Inputs!$E$12,A23&lt;=(Inputs!$E$10+Inputs!$E$11)+Inputs!$E$12+Inputs!$E$16),Inputs!$E$13*Inputs!$E$14*Inputs!$E$15,0)</f>
        <v/>
      </c>
      <c r="G23" s="17">
        <f>F23*1000*Inputs!$E$7/1e6</f>
        <v/>
      </c>
      <c r="H23" s="17">
        <f>G23-B23-C23-D23</f>
        <v/>
      </c>
      <c r="I23" s="18">
        <f>1/(1+Inputs!$E$18)^A23</f>
        <v/>
      </c>
      <c r="J23" s="17">
        <f>H23*I23</f>
        <v/>
      </c>
      <c r="K23" s="17">
        <f>(B23+C23)*I23</f>
        <v/>
      </c>
      <c r="L23" s="17">
        <f>(G23-D23)*I23</f>
        <v/>
      </c>
      <c r="M23" s="17">
        <f>F23*I23</f>
        <v/>
      </c>
    </row>
    <row r="24">
      <c r="A24" t="n">
        <v>19</v>
      </c>
      <c r="B24" s="17">
        <f>IF(A24&lt;=Inputs!$E$10,Inputs!$E$9/Inputs!$E$10,0)</f>
        <v/>
      </c>
      <c r="C24" s="17">
        <f>IF(A24=Inputs!$E$10,Inputs!$E$8*Inputs!$E$6/1e6,0)</f>
        <v/>
      </c>
      <c r="D24" s="17">
        <f>IF(AND(A24&gt;(Inputs!$E$10+Inputs!$E$11),A24&lt;=(Inputs!$E$10+Inputs!$E$11)+Inputs!$E$16),Inputs!$E$17,0)</f>
        <v/>
      </c>
      <c r="E24" s="17">
        <f>IF(AND(A24&gt;(Inputs!$E$10+Inputs!$E$11),A24&lt;=(Inputs!$E$10+Inputs!$E$11)+Inputs!$E$16),Inputs!$E$13*Inputs!$E$14,0)</f>
        <v/>
      </c>
      <c r="F24" s="17">
        <f>IF(AND(A24&gt;(Inputs!$E$10+Inputs!$E$11)+Inputs!$E$12,A24&lt;=(Inputs!$E$10+Inputs!$E$11)+Inputs!$E$12+Inputs!$E$16),Inputs!$E$13*Inputs!$E$14*Inputs!$E$15,0)</f>
        <v/>
      </c>
      <c r="G24" s="17">
        <f>F24*1000*Inputs!$E$7/1e6</f>
        <v/>
      </c>
      <c r="H24" s="17">
        <f>G24-B24-C24-D24</f>
        <v/>
      </c>
      <c r="I24" s="18">
        <f>1/(1+Inputs!$E$18)^A24</f>
        <v/>
      </c>
      <c r="J24" s="17">
        <f>H24*I24</f>
        <v/>
      </c>
      <c r="K24" s="17">
        <f>(B24+C24)*I24</f>
        <v/>
      </c>
      <c r="L24" s="17">
        <f>(G24-D24)*I24</f>
        <v/>
      </c>
      <c r="M24" s="17">
        <f>F24*I24</f>
        <v/>
      </c>
    </row>
    <row r="25">
      <c r="A25" t="n">
        <v>20</v>
      </c>
      <c r="B25" s="17">
        <f>IF(A25&lt;=Inputs!$E$10,Inputs!$E$9/Inputs!$E$10,0)</f>
        <v/>
      </c>
      <c r="C25" s="17">
        <f>IF(A25=Inputs!$E$10,Inputs!$E$8*Inputs!$E$6/1e6,0)</f>
        <v/>
      </c>
      <c r="D25" s="17">
        <f>IF(AND(A25&gt;(Inputs!$E$10+Inputs!$E$11),A25&lt;=(Inputs!$E$10+Inputs!$E$11)+Inputs!$E$16),Inputs!$E$17,0)</f>
        <v/>
      </c>
      <c r="E25" s="17">
        <f>IF(AND(A25&gt;(Inputs!$E$10+Inputs!$E$11),A25&lt;=(Inputs!$E$10+Inputs!$E$11)+Inputs!$E$16),Inputs!$E$13*Inputs!$E$14,0)</f>
        <v/>
      </c>
      <c r="F25" s="17">
        <f>IF(AND(A25&gt;(Inputs!$E$10+Inputs!$E$11)+Inputs!$E$12,A25&lt;=(Inputs!$E$10+Inputs!$E$11)+Inputs!$E$12+Inputs!$E$16),Inputs!$E$13*Inputs!$E$14*Inputs!$E$15,0)</f>
        <v/>
      </c>
      <c r="G25" s="17">
        <f>F25*1000*Inputs!$E$7/1e6</f>
        <v/>
      </c>
      <c r="H25" s="17">
        <f>G25-B25-C25-D25</f>
        <v/>
      </c>
      <c r="I25" s="18">
        <f>1/(1+Inputs!$E$18)^A25</f>
        <v/>
      </c>
      <c r="J25" s="17">
        <f>H25*I25</f>
        <v/>
      </c>
      <c r="K25" s="17">
        <f>(B25+C25)*I25</f>
        <v/>
      </c>
      <c r="L25" s="17">
        <f>(G25-D25)*I25</f>
        <v/>
      </c>
      <c r="M25" s="17">
        <f>F25*I25</f>
        <v/>
      </c>
    </row>
    <row r="26">
      <c r="A26" t="n">
        <v>21</v>
      </c>
      <c r="B26" s="17">
        <f>IF(A26&lt;=Inputs!$E$10,Inputs!$E$9/Inputs!$E$10,0)</f>
        <v/>
      </c>
      <c r="C26" s="17">
        <f>IF(A26=Inputs!$E$10,Inputs!$E$8*Inputs!$E$6/1e6,0)</f>
        <v/>
      </c>
      <c r="D26" s="17">
        <f>IF(AND(A26&gt;(Inputs!$E$10+Inputs!$E$11),A26&lt;=(Inputs!$E$10+Inputs!$E$11)+Inputs!$E$16),Inputs!$E$17,0)</f>
        <v/>
      </c>
      <c r="E26" s="17">
        <f>IF(AND(A26&gt;(Inputs!$E$10+Inputs!$E$11),A26&lt;=(Inputs!$E$10+Inputs!$E$11)+Inputs!$E$16),Inputs!$E$13*Inputs!$E$14,0)</f>
        <v/>
      </c>
      <c r="F26" s="17">
        <f>IF(AND(A26&gt;(Inputs!$E$10+Inputs!$E$11)+Inputs!$E$12,A26&lt;=(Inputs!$E$10+Inputs!$E$11)+Inputs!$E$12+Inputs!$E$16),Inputs!$E$13*Inputs!$E$14*Inputs!$E$15,0)</f>
        <v/>
      </c>
      <c r="G26" s="17">
        <f>F26*1000*Inputs!$E$7/1e6</f>
        <v/>
      </c>
      <c r="H26" s="17">
        <f>G26-B26-C26-D26</f>
        <v/>
      </c>
      <c r="I26" s="18">
        <f>1/(1+Inputs!$E$18)^A26</f>
        <v/>
      </c>
      <c r="J26" s="17">
        <f>H26*I26</f>
        <v/>
      </c>
      <c r="K26" s="17">
        <f>(B26+C26)*I26</f>
        <v/>
      </c>
      <c r="L26" s="17">
        <f>(G26-D26)*I26</f>
        <v/>
      </c>
      <c r="M26" s="17">
        <f>F26*I26</f>
        <v/>
      </c>
    </row>
    <row r="27">
      <c r="A27" t="n">
        <v>22</v>
      </c>
      <c r="B27" s="17">
        <f>IF(A27&lt;=Inputs!$E$10,Inputs!$E$9/Inputs!$E$10,0)</f>
        <v/>
      </c>
      <c r="C27" s="17">
        <f>IF(A27=Inputs!$E$10,Inputs!$E$8*Inputs!$E$6/1e6,0)</f>
        <v/>
      </c>
      <c r="D27" s="17">
        <f>IF(AND(A27&gt;(Inputs!$E$10+Inputs!$E$11),A27&lt;=(Inputs!$E$10+Inputs!$E$11)+Inputs!$E$16),Inputs!$E$17,0)</f>
        <v/>
      </c>
      <c r="E27" s="17">
        <f>IF(AND(A27&gt;(Inputs!$E$10+Inputs!$E$11),A27&lt;=(Inputs!$E$10+Inputs!$E$11)+Inputs!$E$16),Inputs!$E$13*Inputs!$E$14,0)</f>
        <v/>
      </c>
      <c r="F27" s="17">
        <f>IF(AND(A27&gt;(Inputs!$E$10+Inputs!$E$11)+Inputs!$E$12,A27&lt;=(Inputs!$E$10+Inputs!$E$11)+Inputs!$E$12+Inputs!$E$16),Inputs!$E$13*Inputs!$E$14*Inputs!$E$15,0)</f>
        <v/>
      </c>
      <c r="G27" s="17">
        <f>F27*1000*Inputs!$E$7/1e6</f>
        <v/>
      </c>
      <c r="H27" s="17">
        <f>G27-B27-C27-D27</f>
        <v/>
      </c>
      <c r="I27" s="18">
        <f>1/(1+Inputs!$E$18)^A27</f>
        <v/>
      </c>
      <c r="J27" s="17">
        <f>H27*I27</f>
        <v/>
      </c>
      <c r="K27" s="17">
        <f>(B27+C27)*I27</f>
        <v/>
      </c>
      <c r="L27" s="17">
        <f>(G27-D27)*I27</f>
        <v/>
      </c>
      <c r="M27" s="17">
        <f>F27*I27</f>
        <v/>
      </c>
    </row>
    <row r="28">
      <c r="A28" t="n">
        <v>23</v>
      </c>
      <c r="B28" s="17">
        <f>IF(A28&lt;=Inputs!$E$10,Inputs!$E$9/Inputs!$E$10,0)</f>
        <v/>
      </c>
      <c r="C28" s="17">
        <f>IF(A28=Inputs!$E$10,Inputs!$E$8*Inputs!$E$6/1e6,0)</f>
        <v/>
      </c>
      <c r="D28" s="17">
        <f>IF(AND(A28&gt;(Inputs!$E$10+Inputs!$E$11),A28&lt;=(Inputs!$E$10+Inputs!$E$11)+Inputs!$E$16),Inputs!$E$17,0)</f>
        <v/>
      </c>
      <c r="E28" s="17">
        <f>IF(AND(A28&gt;(Inputs!$E$10+Inputs!$E$11),A28&lt;=(Inputs!$E$10+Inputs!$E$11)+Inputs!$E$16),Inputs!$E$13*Inputs!$E$14,0)</f>
        <v/>
      </c>
      <c r="F28" s="17">
        <f>IF(AND(A28&gt;(Inputs!$E$10+Inputs!$E$11)+Inputs!$E$12,A28&lt;=(Inputs!$E$10+Inputs!$E$11)+Inputs!$E$12+Inputs!$E$16),Inputs!$E$13*Inputs!$E$14*Inputs!$E$15,0)</f>
        <v/>
      </c>
      <c r="G28" s="17">
        <f>F28*1000*Inputs!$E$7/1e6</f>
        <v/>
      </c>
      <c r="H28" s="17">
        <f>G28-B28-C28-D28</f>
        <v/>
      </c>
      <c r="I28" s="18">
        <f>1/(1+Inputs!$E$18)^A28</f>
        <v/>
      </c>
      <c r="J28" s="17">
        <f>H28*I28</f>
        <v/>
      </c>
      <c r="K28" s="17">
        <f>(B28+C28)*I28</f>
        <v/>
      </c>
      <c r="L28" s="17">
        <f>(G28-D28)*I28</f>
        <v/>
      </c>
      <c r="M28" s="17">
        <f>F28*I28</f>
        <v/>
      </c>
    </row>
    <row r="29">
      <c r="A29" t="n">
        <v>24</v>
      </c>
      <c r="B29" s="17">
        <f>IF(A29&lt;=Inputs!$E$10,Inputs!$E$9/Inputs!$E$10,0)</f>
        <v/>
      </c>
      <c r="C29" s="17">
        <f>IF(A29=Inputs!$E$10,Inputs!$E$8*Inputs!$E$6/1e6,0)</f>
        <v/>
      </c>
      <c r="D29" s="17">
        <f>IF(AND(A29&gt;(Inputs!$E$10+Inputs!$E$11),A29&lt;=(Inputs!$E$10+Inputs!$E$11)+Inputs!$E$16),Inputs!$E$17,0)</f>
        <v/>
      </c>
      <c r="E29" s="17">
        <f>IF(AND(A29&gt;(Inputs!$E$10+Inputs!$E$11),A29&lt;=(Inputs!$E$10+Inputs!$E$11)+Inputs!$E$16),Inputs!$E$13*Inputs!$E$14,0)</f>
        <v/>
      </c>
      <c r="F29" s="17">
        <f>IF(AND(A29&gt;(Inputs!$E$10+Inputs!$E$11)+Inputs!$E$12,A29&lt;=(Inputs!$E$10+Inputs!$E$11)+Inputs!$E$12+Inputs!$E$16),Inputs!$E$13*Inputs!$E$14*Inputs!$E$15,0)</f>
        <v/>
      </c>
      <c r="G29" s="17">
        <f>F29*1000*Inputs!$E$7/1e6</f>
        <v/>
      </c>
      <c r="H29" s="17">
        <f>G29-B29-C29-D29</f>
        <v/>
      </c>
      <c r="I29" s="18">
        <f>1/(1+Inputs!$E$18)^A29</f>
        <v/>
      </c>
      <c r="J29" s="17">
        <f>H29*I29</f>
        <v/>
      </c>
      <c r="K29" s="17">
        <f>(B29+C29)*I29</f>
        <v/>
      </c>
      <c r="L29" s="17">
        <f>(G29-D29)*I29</f>
        <v/>
      </c>
      <c r="M29" s="17">
        <f>F29*I29</f>
        <v/>
      </c>
    </row>
    <row r="30">
      <c r="A30" t="n">
        <v>25</v>
      </c>
      <c r="B30" s="17">
        <f>IF(A30&lt;=Inputs!$E$10,Inputs!$E$9/Inputs!$E$10,0)</f>
        <v/>
      </c>
      <c r="C30" s="17">
        <f>IF(A30=Inputs!$E$10,Inputs!$E$8*Inputs!$E$6/1e6,0)</f>
        <v/>
      </c>
      <c r="D30" s="17">
        <f>IF(AND(A30&gt;(Inputs!$E$10+Inputs!$E$11),A30&lt;=(Inputs!$E$10+Inputs!$E$11)+Inputs!$E$16),Inputs!$E$17,0)</f>
        <v/>
      </c>
      <c r="E30" s="17">
        <f>IF(AND(A30&gt;(Inputs!$E$10+Inputs!$E$11),A30&lt;=(Inputs!$E$10+Inputs!$E$11)+Inputs!$E$16),Inputs!$E$13*Inputs!$E$14,0)</f>
        <v/>
      </c>
      <c r="F30" s="17">
        <f>IF(AND(A30&gt;(Inputs!$E$10+Inputs!$E$11)+Inputs!$E$12,A30&lt;=(Inputs!$E$10+Inputs!$E$11)+Inputs!$E$12+Inputs!$E$16),Inputs!$E$13*Inputs!$E$14*Inputs!$E$15,0)</f>
        <v/>
      </c>
      <c r="G30" s="17">
        <f>F30*1000*Inputs!$E$7/1e6</f>
        <v/>
      </c>
      <c r="H30" s="17">
        <f>G30-B30-C30-D30</f>
        <v/>
      </c>
      <c r="I30" s="18">
        <f>1/(1+Inputs!$E$18)^A30</f>
        <v/>
      </c>
      <c r="J30" s="17">
        <f>H30*I30</f>
        <v/>
      </c>
      <c r="K30" s="17">
        <f>(B30+C30)*I30</f>
        <v/>
      </c>
      <c r="L30" s="17">
        <f>(G30-D30)*I30</f>
        <v/>
      </c>
      <c r="M30" s="17">
        <f>F30*I30</f>
        <v/>
      </c>
    </row>
    <row r="31">
      <c r="A31" t="n">
        <v>26</v>
      </c>
      <c r="B31" s="17">
        <f>IF(A31&lt;=Inputs!$E$10,Inputs!$E$9/Inputs!$E$10,0)</f>
        <v/>
      </c>
      <c r="C31" s="17">
        <f>IF(A31=Inputs!$E$10,Inputs!$E$8*Inputs!$E$6/1e6,0)</f>
        <v/>
      </c>
      <c r="D31" s="17">
        <f>IF(AND(A31&gt;(Inputs!$E$10+Inputs!$E$11),A31&lt;=(Inputs!$E$10+Inputs!$E$11)+Inputs!$E$16),Inputs!$E$17,0)</f>
        <v/>
      </c>
      <c r="E31" s="17">
        <f>IF(AND(A31&gt;(Inputs!$E$10+Inputs!$E$11),A31&lt;=(Inputs!$E$10+Inputs!$E$11)+Inputs!$E$16),Inputs!$E$13*Inputs!$E$14,0)</f>
        <v/>
      </c>
      <c r="F31" s="17">
        <f>IF(AND(A31&gt;(Inputs!$E$10+Inputs!$E$11)+Inputs!$E$12,A31&lt;=(Inputs!$E$10+Inputs!$E$11)+Inputs!$E$12+Inputs!$E$16),Inputs!$E$13*Inputs!$E$14*Inputs!$E$15,0)</f>
        <v/>
      </c>
      <c r="G31" s="17">
        <f>F31*1000*Inputs!$E$7/1e6</f>
        <v/>
      </c>
      <c r="H31" s="17">
        <f>G31-B31-C31-D31</f>
        <v/>
      </c>
      <c r="I31" s="18">
        <f>1/(1+Inputs!$E$18)^A31</f>
        <v/>
      </c>
      <c r="J31" s="17">
        <f>H31*I31</f>
        <v/>
      </c>
      <c r="K31" s="17">
        <f>(B31+C31)*I31</f>
        <v/>
      </c>
      <c r="L31" s="17">
        <f>(G31-D31)*I31</f>
        <v/>
      </c>
      <c r="M31" s="17">
        <f>F31*I31</f>
        <v/>
      </c>
    </row>
    <row r="32">
      <c r="A32" t="n">
        <v>27</v>
      </c>
      <c r="B32" s="17">
        <f>IF(A32&lt;=Inputs!$E$10,Inputs!$E$9/Inputs!$E$10,0)</f>
        <v/>
      </c>
      <c r="C32" s="17">
        <f>IF(A32=Inputs!$E$10,Inputs!$E$8*Inputs!$E$6/1e6,0)</f>
        <v/>
      </c>
      <c r="D32" s="17">
        <f>IF(AND(A32&gt;(Inputs!$E$10+Inputs!$E$11),A32&lt;=(Inputs!$E$10+Inputs!$E$11)+Inputs!$E$16),Inputs!$E$17,0)</f>
        <v/>
      </c>
      <c r="E32" s="17">
        <f>IF(AND(A32&gt;(Inputs!$E$10+Inputs!$E$11),A32&lt;=(Inputs!$E$10+Inputs!$E$11)+Inputs!$E$16),Inputs!$E$13*Inputs!$E$14,0)</f>
        <v/>
      </c>
      <c r="F32" s="17">
        <f>IF(AND(A32&gt;(Inputs!$E$10+Inputs!$E$11)+Inputs!$E$12,A32&lt;=(Inputs!$E$10+Inputs!$E$11)+Inputs!$E$12+Inputs!$E$16),Inputs!$E$13*Inputs!$E$14*Inputs!$E$15,0)</f>
        <v/>
      </c>
      <c r="G32" s="17">
        <f>F32*1000*Inputs!$E$7/1e6</f>
        <v/>
      </c>
      <c r="H32" s="17">
        <f>G32-B32-C32-D32</f>
        <v/>
      </c>
      <c r="I32" s="18">
        <f>1/(1+Inputs!$E$18)^A32</f>
        <v/>
      </c>
      <c r="J32" s="17">
        <f>H32*I32</f>
        <v/>
      </c>
      <c r="K32" s="17">
        <f>(B32+C32)*I32</f>
        <v/>
      </c>
      <c r="L32" s="17">
        <f>(G32-D32)*I32</f>
        <v/>
      </c>
      <c r="M32" s="17">
        <f>F32*I32</f>
        <v/>
      </c>
    </row>
    <row r="33">
      <c r="A33" t="n">
        <v>28</v>
      </c>
      <c r="B33" s="17">
        <f>IF(A33&lt;=Inputs!$E$10,Inputs!$E$9/Inputs!$E$10,0)</f>
        <v/>
      </c>
      <c r="C33" s="17">
        <f>IF(A33=Inputs!$E$10,Inputs!$E$8*Inputs!$E$6/1e6,0)</f>
        <v/>
      </c>
      <c r="D33" s="17">
        <f>IF(AND(A33&gt;(Inputs!$E$10+Inputs!$E$11),A33&lt;=(Inputs!$E$10+Inputs!$E$11)+Inputs!$E$16),Inputs!$E$17,0)</f>
        <v/>
      </c>
      <c r="E33" s="17">
        <f>IF(AND(A33&gt;(Inputs!$E$10+Inputs!$E$11),A33&lt;=(Inputs!$E$10+Inputs!$E$11)+Inputs!$E$16),Inputs!$E$13*Inputs!$E$14,0)</f>
        <v/>
      </c>
      <c r="F33" s="17">
        <f>IF(AND(A33&gt;(Inputs!$E$10+Inputs!$E$11)+Inputs!$E$12,A33&lt;=(Inputs!$E$10+Inputs!$E$11)+Inputs!$E$12+Inputs!$E$16),Inputs!$E$13*Inputs!$E$14*Inputs!$E$15,0)</f>
        <v/>
      </c>
      <c r="G33" s="17">
        <f>F33*1000*Inputs!$E$7/1e6</f>
        <v/>
      </c>
      <c r="H33" s="17">
        <f>G33-B33-C33-D33</f>
        <v/>
      </c>
      <c r="I33" s="18">
        <f>1/(1+Inputs!$E$18)^A33</f>
        <v/>
      </c>
      <c r="J33" s="17">
        <f>H33*I33</f>
        <v/>
      </c>
      <c r="K33" s="17">
        <f>(B33+C33)*I33</f>
        <v/>
      </c>
      <c r="L33" s="17">
        <f>(G33-D33)*I33</f>
        <v/>
      </c>
      <c r="M33" s="17">
        <f>F33*I33</f>
        <v/>
      </c>
    </row>
    <row r="34">
      <c r="A34" t="n">
        <v>29</v>
      </c>
      <c r="B34" s="17">
        <f>IF(A34&lt;=Inputs!$E$10,Inputs!$E$9/Inputs!$E$10,0)</f>
        <v/>
      </c>
      <c r="C34" s="17">
        <f>IF(A34=Inputs!$E$10,Inputs!$E$8*Inputs!$E$6/1e6,0)</f>
        <v/>
      </c>
      <c r="D34" s="17">
        <f>IF(AND(A34&gt;(Inputs!$E$10+Inputs!$E$11),A34&lt;=(Inputs!$E$10+Inputs!$E$11)+Inputs!$E$16),Inputs!$E$17,0)</f>
        <v/>
      </c>
      <c r="E34" s="17">
        <f>IF(AND(A34&gt;(Inputs!$E$10+Inputs!$E$11),A34&lt;=(Inputs!$E$10+Inputs!$E$11)+Inputs!$E$16),Inputs!$E$13*Inputs!$E$14,0)</f>
        <v/>
      </c>
      <c r="F34" s="17">
        <f>IF(AND(A34&gt;(Inputs!$E$10+Inputs!$E$11)+Inputs!$E$12,A34&lt;=(Inputs!$E$10+Inputs!$E$11)+Inputs!$E$12+Inputs!$E$16),Inputs!$E$13*Inputs!$E$14*Inputs!$E$15,0)</f>
        <v/>
      </c>
      <c r="G34" s="17">
        <f>F34*1000*Inputs!$E$7/1e6</f>
        <v/>
      </c>
      <c r="H34" s="17">
        <f>G34-B34-C34-D34</f>
        <v/>
      </c>
      <c r="I34" s="18">
        <f>1/(1+Inputs!$E$18)^A34</f>
        <v/>
      </c>
      <c r="J34" s="17">
        <f>H34*I34</f>
        <v/>
      </c>
      <c r="K34" s="17">
        <f>(B34+C34)*I34</f>
        <v/>
      </c>
      <c r="L34" s="17">
        <f>(G34-D34)*I34</f>
        <v/>
      </c>
      <c r="M34" s="17">
        <f>F34*I34</f>
        <v/>
      </c>
    </row>
    <row r="35">
      <c r="A35" t="n">
        <v>30</v>
      </c>
      <c r="B35" s="17">
        <f>IF(A35&lt;=Inputs!$E$10,Inputs!$E$9/Inputs!$E$10,0)</f>
        <v/>
      </c>
      <c r="C35" s="17">
        <f>IF(A35=Inputs!$E$10,Inputs!$E$8*Inputs!$E$6/1e6,0)</f>
        <v/>
      </c>
      <c r="D35" s="17">
        <f>IF(AND(A35&gt;(Inputs!$E$10+Inputs!$E$11),A35&lt;=(Inputs!$E$10+Inputs!$E$11)+Inputs!$E$16),Inputs!$E$17,0)</f>
        <v/>
      </c>
      <c r="E35" s="17">
        <f>IF(AND(A35&gt;(Inputs!$E$10+Inputs!$E$11),A35&lt;=(Inputs!$E$10+Inputs!$E$11)+Inputs!$E$16),Inputs!$E$13*Inputs!$E$14,0)</f>
        <v/>
      </c>
      <c r="F35" s="17">
        <f>IF(AND(A35&gt;(Inputs!$E$10+Inputs!$E$11)+Inputs!$E$12,A35&lt;=(Inputs!$E$10+Inputs!$E$11)+Inputs!$E$12+Inputs!$E$16),Inputs!$E$13*Inputs!$E$14*Inputs!$E$15,0)</f>
        <v/>
      </c>
      <c r="G35" s="17">
        <f>F35*1000*Inputs!$E$7/1e6</f>
        <v/>
      </c>
      <c r="H35" s="17">
        <f>G35-B35-C35-D35</f>
        <v/>
      </c>
      <c r="I35" s="18">
        <f>1/(1+Inputs!$E$18)^A35</f>
        <v/>
      </c>
      <c r="J35" s="17">
        <f>H35*I35</f>
        <v/>
      </c>
      <c r="K35" s="17">
        <f>(B35+C35)*I35</f>
        <v/>
      </c>
      <c r="L35" s="17">
        <f>(G35-D35)*I35</f>
        <v/>
      </c>
      <c r="M35" s="17">
        <f>F35*I35</f>
        <v/>
      </c>
    </row>
    <row r="36">
      <c r="A36" t="n">
        <v>31</v>
      </c>
      <c r="B36" s="17">
        <f>IF(A36&lt;=Inputs!$E$10,Inputs!$E$9/Inputs!$E$10,0)</f>
        <v/>
      </c>
      <c r="C36" s="17">
        <f>IF(A36=Inputs!$E$10,Inputs!$E$8*Inputs!$E$6/1e6,0)</f>
        <v/>
      </c>
      <c r="D36" s="17">
        <f>IF(AND(A36&gt;(Inputs!$E$10+Inputs!$E$11),A36&lt;=(Inputs!$E$10+Inputs!$E$11)+Inputs!$E$16),Inputs!$E$17,0)</f>
        <v/>
      </c>
      <c r="E36" s="17">
        <f>IF(AND(A36&gt;(Inputs!$E$10+Inputs!$E$11),A36&lt;=(Inputs!$E$10+Inputs!$E$11)+Inputs!$E$16),Inputs!$E$13*Inputs!$E$14,0)</f>
        <v/>
      </c>
      <c r="F36" s="17">
        <f>IF(AND(A36&gt;(Inputs!$E$10+Inputs!$E$11)+Inputs!$E$12,A36&lt;=(Inputs!$E$10+Inputs!$E$11)+Inputs!$E$12+Inputs!$E$16),Inputs!$E$13*Inputs!$E$14*Inputs!$E$15,0)</f>
        <v/>
      </c>
      <c r="G36" s="17">
        <f>F36*1000*Inputs!$E$7/1e6</f>
        <v/>
      </c>
      <c r="H36" s="17">
        <f>G36-B36-C36-D36</f>
        <v/>
      </c>
      <c r="I36" s="18">
        <f>1/(1+Inputs!$E$18)^A36</f>
        <v/>
      </c>
      <c r="J36" s="17">
        <f>H36*I36</f>
        <v/>
      </c>
      <c r="K36" s="17">
        <f>(B36+C36)*I36</f>
        <v/>
      </c>
      <c r="L36" s="17">
        <f>(G36-D36)*I36</f>
        <v/>
      </c>
      <c r="M36" s="17">
        <f>F36*I36</f>
        <v/>
      </c>
    </row>
    <row r="37">
      <c r="A37" t="n">
        <v>32</v>
      </c>
      <c r="B37" s="17">
        <f>IF(A37&lt;=Inputs!$E$10,Inputs!$E$9/Inputs!$E$10,0)</f>
        <v/>
      </c>
      <c r="C37" s="17">
        <f>IF(A37=Inputs!$E$10,Inputs!$E$8*Inputs!$E$6/1e6,0)</f>
        <v/>
      </c>
      <c r="D37" s="17">
        <f>IF(AND(A37&gt;(Inputs!$E$10+Inputs!$E$11),A37&lt;=(Inputs!$E$10+Inputs!$E$11)+Inputs!$E$16),Inputs!$E$17,0)</f>
        <v/>
      </c>
      <c r="E37" s="17">
        <f>IF(AND(A37&gt;(Inputs!$E$10+Inputs!$E$11),A37&lt;=(Inputs!$E$10+Inputs!$E$11)+Inputs!$E$16),Inputs!$E$13*Inputs!$E$14,0)</f>
        <v/>
      </c>
      <c r="F37" s="17">
        <f>IF(AND(A37&gt;(Inputs!$E$10+Inputs!$E$11)+Inputs!$E$12,A37&lt;=(Inputs!$E$10+Inputs!$E$11)+Inputs!$E$12+Inputs!$E$16),Inputs!$E$13*Inputs!$E$14*Inputs!$E$15,0)</f>
        <v/>
      </c>
      <c r="G37" s="17">
        <f>F37*1000*Inputs!$E$7/1e6</f>
        <v/>
      </c>
      <c r="H37" s="17">
        <f>G37-B37-C37-D37</f>
        <v/>
      </c>
      <c r="I37" s="18">
        <f>1/(1+Inputs!$E$18)^A37</f>
        <v/>
      </c>
      <c r="J37" s="17">
        <f>H37*I37</f>
        <v/>
      </c>
      <c r="K37" s="17">
        <f>(B37+C37)*I37</f>
        <v/>
      </c>
      <c r="L37" s="17">
        <f>(G37-D37)*I37</f>
        <v/>
      </c>
      <c r="M37" s="17">
        <f>F37*I37</f>
        <v/>
      </c>
    </row>
    <row r="38">
      <c r="A38" t="n">
        <v>33</v>
      </c>
      <c r="B38" s="17">
        <f>IF(A38&lt;=Inputs!$E$10,Inputs!$E$9/Inputs!$E$10,0)</f>
        <v/>
      </c>
      <c r="C38" s="17">
        <f>IF(A38=Inputs!$E$10,Inputs!$E$8*Inputs!$E$6/1e6,0)</f>
        <v/>
      </c>
      <c r="D38" s="17">
        <f>IF(AND(A38&gt;(Inputs!$E$10+Inputs!$E$11),A38&lt;=(Inputs!$E$10+Inputs!$E$11)+Inputs!$E$16),Inputs!$E$17,0)</f>
        <v/>
      </c>
      <c r="E38" s="17">
        <f>IF(AND(A38&gt;(Inputs!$E$10+Inputs!$E$11),A38&lt;=(Inputs!$E$10+Inputs!$E$11)+Inputs!$E$16),Inputs!$E$13*Inputs!$E$14,0)</f>
        <v/>
      </c>
      <c r="F38" s="17">
        <f>IF(AND(A38&gt;(Inputs!$E$10+Inputs!$E$11)+Inputs!$E$12,A38&lt;=(Inputs!$E$10+Inputs!$E$11)+Inputs!$E$12+Inputs!$E$16),Inputs!$E$13*Inputs!$E$14*Inputs!$E$15,0)</f>
        <v/>
      </c>
      <c r="G38" s="17">
        <f>F38*1000*Inputs!$E$7/1e6</f>
        <v/>
      </c>
      <c r="H38" s="17">
        <f>G38-B38-C38-D38</f>
        <v/>
      </c>
      <c r="I38" s="18">
        <f>1/(1+Inputs!$E$18)^A38</f>
        <v/>
      </c>
      <c r="J38" s="17">
        <f>H38*I38</f>
        <v/>
      </c>
      <c r="K38" s="17">
        <f>(B38+C38)*I38</f>
        <v/>
      </c>
      <c r="L38" s="17">
        <f>(G38-D38)*I38</f>
        <v/>
      </c>
      <c r="M38" s="17">
        <f>F38*I38</f>
        <v/>
      </c>
    </row>
    <row r="39">
      <c r="A39" t="n">
        <v>34</v>
      </c>
      <c r="B39" s="17">
        <f>IF(A39&lt;=Inputs!$E$10,Inputs!$E$9/Inputs!$E$10,0)</f>
        <v/>
      </c>
      <c r="C39" s="17">
        <f>IF(A39=Inputs!$E$10,Inputs!$E$8*Inputs!$E$6/1e6,0)</f>
        <v/>
      </c>
      <c r="D39" s="17">
        <f>IF(AND(A39&gt;(Inputs!$E$10+Inputs!$E$11),A39&lt;=(Inputs!$E$10+Inputs!$E$11)+Inputs!$E$16),Inputs!$E$17,0)</f>
        <v/>
      </c>
      <c r="E39" s="17">
        <f>IF(AND(A39&gt;(Inputs!$E$10+Inputs!$E$11),A39&lt;=(Inputs!$E$10+Inputs!$E$11)+Inputs!$E$16),Inputs!$E$13*Inputs!$E$14,0)</f>
        <v/>
      </c>
      <c r="F39" s="17">
        <f>IF(AND(A39&gt;(Inputs!$E$10+Inputs!$E$11)+Inputs!$E$12,A39&lt;=(Inputs!$E$10+Inputs!$E$11)+Inputs!$E$12+Inputs!$E$16),Inputs!$E$13*Inputs!$E$14*Inputs!$E$15,0)</f>
        <v/>
      </c>
      <c r="G39" s="17">
        <f>F39*1000*Inputs!$E$7/1e6</f>
        <v/>
      </c>
      <c r="H39" s="17">
        <f>G39-B39-C39-D39</f>
        <v/>
      </c>
      <c r="I39" s="18">
        <f>1/(1+Inputs!$E$18)^A39</f>
        <v/>
      </c>
      <c r="J39" s="17">
        <f>H39*I39</f>
        <v/>
      </c>
      <c r="K39" s="17">
        <f>(B39+C39)*I39</f>
        <v/>
      </c>
      <c r="L39" s="17">
        <f>(G39-D39)*I39</f>
        <v/>
      </c>
      <c r="M39" s="17">
        <f>F39*I39</f>
        <v/>
      </c>
    </row>
    <row r="40">
      <c r="A40" t="n">
        <v>35</v>
      </c>
      <c r="B40" s="17">
        <f>IF(A40&lt;=Inputs!$E$10,Inputs!$E$9/Inputs!$E$10,0)</f>
        <v/>
      </c>
      <c r="C40" s="17">
        <f>IF(A40=Inputs!$E$10,Inputs!$E$8*Inputs!$E$6/1e6,0)</f>
        <v/>
      </c>
      <c r="D40" s="17">
        <f>IF(AND(A40&gt;(Inputs!$E$10+Inputs!$E$11),A40&lt;=(Inputs!$E$10+Inputs!$E$11)+Inputs!$E$16),Inputs!$E$17,0)</f>
        <v/>
      </c>
      <c r="E40" s="17">
        <f>IF(AND(A40&gt;(Inputs!$E$10+Inputs!$E$11),A40&lt;=(Inputs!$E$10+Inputs!$E$11)+Inputs!$E$16),Inputs!$E$13*Inputs!$E$14,0)</f>
        <v/>
      </c>
      <c r="F40" s="17">
        <f>IF(AND(A40&gt;(Inputs!$E$10+Inputs!$E$11)+Inputs!$E$12,A40&lt;=(Inputs!$E$10+Inputs!$E$11)+Inputs!$E$12+Inputs!$E$16),Inputs!$E$13*Inputs!$E$14*Inputs!$E$15,0)</f>
        <v/>
      </c>
      <c r="G40" s="17">
        <f>F40*1000*Inputs!$E$7/1e6</f>
        <v/>
      </c>
      <c r="H40" s="17">
        <f>G40-B40-C40-D40</f>
        <v/>
      </c>
      <c r="I40" s="18">
        <f>1/(1+Inputs!$E$18)^A40</f>
        <v/>
      </c>
      <c r="J40" s="17">
        <f>H40*I40</f>
        <v/>
      </c>
      <c r="K40" s="17">
        <f>(B40+C40)*I40</f>
        <v/>
      </c>
      <c r="L40" s="17">
        <f>(G40-D40)*I40</f>
        <v/>
      </c>
      <c r="M40" s="17">
        <f>F40*I40</f>
        <v/>
      </c>
    </row>
    <row r="41">
      <c r="A41" t="n">
        <v>36</v>
      </c>
      <c r="B41" s="17">
        <f>IF(A41&lt;=Inputs!$E$10,Inputs!$E$9/Inputs!$E$10,0)</f>
        <v/>
      </c>
      <c r="C41" s="17">
        <f>IF(A41=Inputs!$E$10,Inputs!$E$8*Inputs!$E$6/1e6,0)</f>
        <v/>
      </c>
      <c r="D41" s="17">
        <f>IF(AND(A41&gt;(Inputs!$E$10+Inputs!$E$11),A41&lt;=(Inputs!$E$10+Inputs!$E$11)+Inputs!$E$16),Inputs!$E$17,0)</f>
        <v/>
      </c>
      <c r="E41" s="17">
        <f>IF(AND(A41&gt;(Inputs!$E$10+Inputs!$E$11),A41&lt;=(Inputs!$E$10+Inputs!$E$11)+Inputs!$E$16),Inputs!$E$13*Inputs!$E$14,0)</f>
        <v/>
      </c>
      <c r="F41" s="17">
        <f>IF(AND(A41&gt;(Inputs!$E$10+Inputs!$E$11)+Inputs!$E$12,A41&lt;=(Inputs!$E$10+Inputs!$E$11)+Inputs!$E$12+Inputs!$E$16),Inputs!$E$13*Inputs!$E$14*Inputs!$E$15,0)</f>
        <v/>
      </c>
      <c r="G41" s="17">
        <f>F41*1000*Inputs!$E$7/1e6</f>
        <v/>
      </c>
      <c r="H41" s="17">
        <f>G41-B41-C41-D41</f>
        <v/>
      </c>
      <c r="I41" s="18">
        <f>1/(1+Inputs!$E$18)^A41</f>
        <v/>
      </c>
      <c r="J41" s="17">
        <f>H41*I41</f>
        <v/>
      </c>
      <c r="K41" s="17">
        <f>(B41+C41)*I41</f>
        <v/>
      </c>
      <c r="L41" s="17">
        <f>(G41-D41)*I41</f>
        <v/>
      </c>
      <c r="M41" s="17">
        <f>F41*I41</f>
        <v/>
      </c>
    </row>
    <row r="42">
      <c r="A42" t="n">
        <v>37</v>
      </c>
      <c r="B42" s="17">
        <f>IF(A42&lt;=Inputs!$E$10,Inputs!$E$9/Inputs!$E$10,0)</f>
        <v/>
      </c>
      <c r="C42" s="17">
        <f>IF(A42=Inputs!$E$10,Inputs!$E$8*Inputs!$E$6/1e6,0)</f>
        <v/>
      </c>
      <c r="D42" s="17">
        <f>IF(AND(A42&gt;(Inputs!$E$10+Inputs!$E$11),A42&lt;=(Inputs!$E$10+Inputs!$E$11)+Inputs!$E$16),Inputs!$E$17,0)</f>
        <v/>
      </c>
      <c r="E42" s="17">
        <f>IF(AND(A42&gt;(Inputs!$E$10+Inputs!$E$11),A42&lt;=(Inputs!$E$10+Inputs!$E$11)+Inputs!$E$16),Inputs!$E$13*Inputs!$E$14,0)</f>
        <v/>
      </c>
      <c r="F42" s="17">
        <f>IF(AND(A42&gt;(Inputs!$E$10+Inputs!$E$11)+Inputs!$E$12,A42&lt;=(Inputs!$E$10+Inputs!$E$11)+Inputs!$E$12+Inputs!$E$16),Inputs!$E$13*Inputs!$E$14*Inputs!$E$15,0)</f>
        <v/>
      </c>
      <c r="G42" s="17">
        <f>F42*1000*Inputs!$E$7/1e6</f>
        <v/>
      </c>
      <c r="H42" s="17">
        <f>G42-B42-C42-D42</f>
        <v/>
      </c>
      <c r="I42" s="18">
        <f>1/(1+Inputs!$E$18)^A42</f>
        <v/>
      </c>
      <c r="J42" s="17">
        <f>H42*I42</f>
        <v/>
      </c>
      <c r="K42" s="17">
        <f>(B42+C42)*I42</f>
        <v/>
      </c>
      <c r="L42" s="17">
        <f>(G42-D42)*I42</f>
        <v/>
      </c>
      <c r="M42" s="17">
        <f>F42*I42</f>
        <v/>
      </c>
    </row>
    <row r="43">
      <c r="A43" t="n">
        <v>38</v>
      </c>
      <c r="B43" s="17">
        <f>IF(A43&lt;=Inputs!$E$10,Inputs!$E$9/Inputs!$E$10,0)</f>
        <v/>
      </c>
      <c r="C43" s="17">
        <f>IF(A43=Inputs!$E$10,Inputs!$E$8*Inputs!$E$6/1e6,0)</f>
        <v/>
      </c>
      <c r="D43" s="17">
        <f>IF(AND(A43&gt;(Inputs!$E$10+Inputs!$E$11),A43&lt;=(Inputs!$E$10+Inputs!$E$11)+Inputs!$E$16),Inputs!$E$17,0)</f>
        <v/>
      </c>
      <c r="E43" s="17">
        <f>IF(AND(A43&gt;(Inputs!$E$10+Inputs!$E$11),A43&lt;=(Inputs!$E$10+Inputs!$E$11)+Inputs!$E$16),Inputs!$E$13*Inputs!$E$14,0)</f>
        <v/>
      </c>
      <c r="F43" s="17">
        <f>IF(AND(A43&gt;(Inputs!$E$10+Inputs!$E$11)+Inputs!$E$12,A43&lt;=(Inputs!$E$10+Inputs!$E$11)+Inputs!$E$12+Inputs!$E$16),Inputs!$E$13*Inputs!$E$14*Inputs!$E$15,0)</f>
        <v/>
      </c>
      <c r="G43" s="17">
        <f>F43*1000*Inputs!$E$7/1e6</f>
        <v/>
      </c>
      <c r="H43" s="17">
        <f>G43-B43-C43-D43</f>
        <v/>
      </c>
      <c r="I43" s="18">
        <f>1/(1+Inputs!$E$18)^A43</f>
        <v/>
      </c>
      <c r="J43" s="17">
        <f>H43*I43</f>
        <v/>
      </c>
      <c r="K43" s="17">
        <f>(B43+C43)*I43</f>
        <v/>
      </c>
      <c r="L43" s="17">
        <f>(G43-D43)*I43</f>
        <v/>
      </c>
      <c r="M43" s="17">
        <f>F43*I43</f>
        <v/>
      </c>
    </row>
    <row r="44">
      <c r="A44" t="n">
        <v>39</v>
      </c>
      <c r="B44" s="17">
        <f>IF(A44&lt;=Inputs!$E$10,Inputs!$E$9/Inputs!$E$10,0)</f>
        <v/>
      </c>
      <c r="C44" s="17">
        <f>IF(A44=Inputs!$E$10,Inputs!$E$8*Inputs!$E$6/1e6,0)</f>
        <v/>
      </c>
      <c r="D44" s="17">
        <f>IF(AND(A44&gt;(Inputs!$E$10+Inputs!$E$11),A44&lt;=(Inputs!$E$10+Inputs!$E$11)+Inputs!$E$16),Inputs!$E$17,0)</f>
        <v/>
      </c>
      <c r="E44" s="17">
        <f>IF(AND(A44&gt;(Inputs!$E$10+Inputs!$E$11),A44&lt;=(Inputs!$E$10+Inputs!$E$11)+Inputs!$E$16),Inputs!$E$13*Inputs!$E$14,0)</f>
        <v/>
      </c>
      <c r="F44" s="17">
        <f>IF(AND(A44&gt;(Inputs!$E$10+Inputs!$E$11)+Inputs!$E$12,A44&lt;=(Inputs!$E$10+Inputs!$E$11)+Inputs!$E$12+Inputs!$E$16),Inputs!$E$13*Inputs!$E$14*Inputs!$E$15,0)</f>
        <v/>
      </c>
      <c r="G44" s="17">
        <f>F44*1000*Inputs!$E$7/1e6</f>
        <v/>
      </c>
      <c r="H44" s="17">
        <f>G44-B44-C44-D44</f>
        <v/>
      </c>
      <c r="I44" s="18">
        <f>1/(1+Inputs!$E$18)^A44</f>
        <v/>
      </c>
      <c r="J44" s="17">
        <f>H44*I44</f>
        <v/>
      </c>
      <c r="K44" s="17">
        <f>(B44+C44)*I44</f>
        <v/>
      </c>
      <c r="L44" s="17">
        <f>(G44-D44)*I44</f>
        <v/>
      </c>
      <c r="M44" s="17">
        <f>F44*I44</f>
        <v/>
      </c>
    </row>
    <row r="45">
      <c r="A45" t="n">
        <v>40</v>
      </c>
      <c r="B45" s="17">
        <f>IF(A45&lt;=Inputs!$E$10,Inputs!$E$9/Inputs!$E$10,0)</f>
        <v/>
      </c>
      <c r="C45" s="17">
        <f>IF(A45=Inputs!$E$10,Inputs!$E$8*Inputs!$E$6/1e6,0)</f>
        <v/>
      </c>
      <c r="D45" s="17">
        <f>IF(AND(A45&gt;(Inputs!$E$10+Inputs!$E$11),A45&lt;=(Inputs!$E$10+Inputs!$E$11)+Inputs!$E$16),Inputs!$E$17,0)</f>
        <v/>
      </c>
      <c r="E45" s="17">
        <f>IF(AND(A45&gt;(Inputs!$E$10+Inputs!$E$11),A45&lt;=(Inputs!$E$10+Inputs!$E$11)+Inputs!$E$16),Inputs!$E$13*Inputs!$E$14,0)</f>
        <v/>
      </c>
      <c r="F45" s="17">
        <f>IF(AND(A45&gt;(Inputs!$E$10+Inputs!$E$11)+Inputs!$E$12,A45&lt;=(Inputs!$E$10+Inputs!$E$11)+Inputs!$E$12+Inputs!$E$16),Inputs!$E$13*Inputs!$E$14*Inputs!$E$15,0)</f>
        <v/>
      </c>
      <c r="G45" s="17">
        <f>F45*1000*Inputs!$E$7/1e6</f>
        <v/>
      </c>
      <c r="H45" s="17">
        <f>G45-B45-C45-D45</f>
        <v/>
      </c>
      <c r="I45" s="18">
        <f>1/(1+Inputs!$E$18)^A45</f>
        <v/>
      </c>
      <c r="J45" s="17">
        <f>H45*I45</f>
        <v/>
      </c>
      <c r="K45" s="17">
        <f>(B45+C45)*I45</f>
        <v/>
      </c>
      <c r="L45" s="17">
        <f>(G45-D45)*I45</f>
        <v/>
      </c>
      <c r="M45" s="17">
        <f>F45*I45</f>
        <v/>
      </c>
    </row>
    <row r="47">
      <c r="A47" s="4" t="inlineStr">
        <is>
          <t>NPV ($M)</t>
        </is>
      </c>
      <c r="B47" s="19">
        <f>SUM(J6:J45)</f>
        <v/>
      </c>
    </row>
    <row r="48">
      <c r="A48" s="4" t="inlineStr">
        <is>
          <t>PV capex + launch ($M)</t>
        </is>
      </c>
      <c r="B48" s="19">
        <f>SUM(K6:K45)</f>
        <v/>
      </c>
    </row>
    <row r="49">
      <c r="A49" s="4" t="inlineStr">
        <is>
          <t>PV revenue - opex ($M)</t>
        </is>
      </c>
      <c r="B49" s="19">
        <f>SUM(L6:L45)</f>
        <v/>
      </c>
    </row>
    <row r="50">
      <c r="A50" s="4" t="inlineStr">
        <is>
          <t>Risk-adjusted NPV ($M)</t>
        </is>
      </c>
      <c r="B50" s="19">
        <f>-B48+Inputs!$E$19*B49</f>
        <v/>
      </c>
    </row>
    <row r="51">
      <c r="A51" s="4" t="inlineStr">
        <is>
          <t>Total metal delivered (t)</t>
        </is>
      </c>
      <c r="B51" s="19">
        <f>SUM(F6:F45)</f>
        <v/>
      </c>
    </row>
    <row r="52">
      <c r="A52" s="4" t="inlineStr">
        <is>
          <t>First delivery year</t>
        </is>
      </c>
      <c r="B52" s="19">
        <f>IFERROR(INDEX(A6:A45,MATCH(TRUE,INDEX(F6:F45&gt;0,0),0)),"none")</f>
        <v/>
      </c>
    </row>
    <row r="53">
      <c r="A53" s="4" t="inlineStr">
        <is>
          <t>Break-even in-orbit value ($/kg)</t>
        </is>
      </c>
      <c r="B53" s="19">
        <f>IFERROR((B48+SUMPRODUCT(D6:D45,I6:I45))*1e6/(SUM(M6:M45)*1000),"n/a")</f>
        <v/>
      </c>
    </row>
    <row r="54">
      <c r="A54" s="4" t="inlineStr">
        <is>
          <t>Break-even value / launch cost (x)</t>
        </is>
      </c>
      <c r="B54" s="19">
        <f>IFERROR(B53/Inputs!$E$6,"n/a")</f>
        <v/>
      </c>
    </row>
    <row r="55">
      <c r="A55" s="4" t="inlineStr">
        <is>
          <t>Undiscounted cumulative cash ($M)</t>
        </is>
      </c>
      <c r="B55" s="19">
        <f>SUM(H6:H45)</f>
        <v/>
      </c>
    </row>
    <row r="57">
      <c r="A57" s="20" t="inlineStr">
        <is>
          <t>Illustrative scenario output driven entirely by user assumptions on the Inputs sheet. Not a valuation of any company or asset.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16" customWidth="1" min="1" max="1"/>
    <col width="14" customWidth="1" min="2" max="2"/>
    <col width="14" customWidth="1" min="3" max="3"/>
    <col width="14" customWidth="1" min="4" max="4"/>
    <col width="14" customWidth="1" min="5" max="5"/>
    <col width="14" customWidth="1" min="6" max="6"/>
  </cols>
  <sheetData>
    <row r="1">
      <c r="A1" s="1" t="inlineStr">
        <is>
          <t>Base-case sensitivity — NPV ($M) vs in-orbit metal value and extraction rate</t>
        </is>
      </c>
    </row>
    <row r="2">
      <c r="A2" s="2" t="inlineStr">
        <is>
          <t>Computed analytically from the Base tab's discount factors and timing. Illustrative.</t>
        </is>
      </c>
    </row>
    <row r="3">
      <c r="A3" s="3" t="inlineStr">
        <is>
          <t>Space Resource Intelligence, published by 10timesIt LLC | 16psyche.space | SAMPLE EDITION — illustrative scenarios driven by user assumptions; not investment advice; outputs are not facts.</t>
        </is>
      </c>
    </row>
    <row r="5">
      <c r="A5" s="21" t="inlineStr">
        <is>
          <t>Rows: in-orbit metal value ($/kg). Columns: extraction rate (t/yr). All other inputs = Base.</t>
        </is>
      </c>
    </row>
    <row r="6">
      <c r="A6" s="4" t="inlineStr">
        <is>
          <t>$/kg \ t/yr</t>
        </is>
      </c>
      <c r="B6" s="15" t="n">
        <v>100</v>
      </c>
      <c r="C6" s="15" t="n">
        <v>300</v>
      </c>
      <c r="D6" s="15" t="n">
        <v>1000</v>
      </c>
      <c r="E6" s="15" t="n">
        <v>3000</v>
      </c>
      <c r="F6" s="15" t="n">
        <v>10000</v>
      </c>
    </row>
    <row r="7">
      <c r="A7" s="15" t="n">
        <v>250</v>
      </c>
      <c r="B7" s="22">
        <f>-'Base'!B48-SUMPRODUCT('Base'!D6:D45,'Base'!I6:I45)+IFERROR(SUM('Base'!M6:M45)/Inputs!$D$13,0)*B$6*$A7*1000/1e6</f>
        <v/>
      </c>
      <c r="C7" s="22">
        <f>-'Base'!B48-SUMPRODUCT('Base'!D6:D45,'Base'!I6:I45)+IFERROR(SUM('Base'!M6:M45)/Inputs!$D$13,0)*C$6*$A7*1000/1e6</f>
        <v/>
      </c>
      <c r="D7" s="22">
        <f>-'Base'!B48-SUMPRODUCT('Base'!D6:D45,'Base'!I6:I45)+IFERROR(SUM('Base'!M6:M45)/Inputs!$D$13,0)*D$6*$A7*1000/1e6</f>
        <v/>
      </c>
      <c r="E7" s="22">
        <f>-'Base'!B48-SUMPRODUCT('Base'!D6:D45,'Base'!I6:I45)+IFERROR(SUM('Base'!M6:M45)/Inputs!$D$13,0)*E$6*$A7*1000/1e6</f>
        <v/>
      </c>
      <c r="F7" s="22">
        <f>-'Base'!B48-SUMPRODUCT('Base'!D6:D45,'Base'!I6:I45)+IFERROR(SUM('Base'!M6:M45)/Inputs!$D$13,0)*F$6*$A7*1000/1e6</f>
        <v/>
      </c>
    </row>
    <row r="8">
      <c r="A8" s="15" t="n">
        <v>500</v>
      </c>
      <c r="B8" s="22">
        <f>-'Base'!B48-SUMPRODUCT('Base'!D6:D45,'Base'!I6:I45)+IFERROR(SUM('Base'!M6:M45)/Inputs!$D$13,0)*B$6*$A8*1000/1e6</f>
        <v/>
      </c>
      <c r="C8" s="22">
        <f>-'Base'!B48-SUMPRODUCT('Base'!D6:D45,'Base'!I6:I45)+IFERROR(SUM('Base'!M6:M45)/Inputs!$D$13,0)*C$6*$A8*1000/1e6</f>
        <v/>
      </c>
      <c r="D8" s="22">
        <f>-'Base'!B48-SUMPRODUCT('Base'!D6:D45,'Base'!I6:I45)+IFERROR(SUM('Base'!M6:M45)/Inputs!$D$13,0)*D$6*$A8*1000/1e6</f>
        <v/>
      </c>
      <c r="E8" s="22">
        <f>-'Base'!B48-SUMPRODUCT('Base'!D6:D45,'Base'!I6:I45)+IFERROR(SUM('Base'!M6:M45)/Inputs!$D$13,0)*E$6*$A8*1000/1e6</f>
        <v/>
      </c>
      <c r="F8" s="22">
        <f>-'Base'!B48-SUMPRODUCT('Base'!D6:D45,'Base'!I6:I45)+IFERROR(SUM('Base'!M6:M45)/Inputs!$D$13,0)*F$6*$A8*1000/1e6</f>
        <v/>
      </c>
    </row>
    <row r="9">
      <c r="A9" s="15" t="n">
        <v>1000</v>
      </c>
      <c r="B9" s="22">
        <f>-'Base'!B48-SUMPRODUCT('Base'!D6:D45,'Base'!I6:I45)+IFERROR(SUM('Base'!M6:M45)/Inputs!$D$13,0)*B$6*$A9*1000/1e6</f>
        <v/>
      </c>
      <c r="C9" s="22">
        <f>-'Base'!B48-SUMPRODUCT('Base'!D6:D45,'Base'!I6:I45)+IFERROR(SUM('Base'!M6:M45)/Inputs!$D$13,0)*C$6*$A9*1000/1e6</f>
        <v/>
      </c>
      <c r="D9" s="22">
        <f>-'Base'!B48-SUMPRODUCT('Base'!D6:D45,'Base'!I6:I45)+IFERROR(SUM('Base'!M6:M45)/Inputs!$D$13,0)*D$6*$A9*1000/1e6</f>
        <v/>
      </c>
      <c r="E9" s="22">
        <f>-'Base'!B48-SUMPRODUCT('Base'!D6:D45,'Base'!I6:I45)+IFERROR(SUM('Base'!M6:M45)/Inputs!$D$13,0)*E$6*$A9*1000/1e6</f>
        <v/>
      </c>
      <c r="F9" s="22">
        <f>-'Base'!B48-SUMPRODUCT('Base'!D6:D45,'Base'!I6:I45)+IFERROR(SUM('Base'!M6:M45)/Inputs!$D$13,0)*F$6*$A9*1000/1e6</f>
        <v/>
      </c>
    </row>
    <row r="10">
      <c r="A10" s="15" t="n">
        <v>1500</v>
      </c>
      <c r="B10" s="22">
        <f>-'Base'!B48-SUMPRODUCT('Base'!D6:D45,'Base'!I6:I45)+IFERROR(SUM('Base'!M6:M45)/Inputs!$D$13,0)*B$6*$A10*1000/1e6</f>
        <v/>
      </c>
      <c r="C10" s="22">
        <f>-'Base'!B48-SUMPRODUCT('Base'!D6:D45,'Base'!I6:I45)+IFERROR(SUM('Base'!M6:M45)/Inputs!$D$13,0)*C$6*$A10*1000/1e6</f>
        <v/>
      </c>
      <c r="D10" s="22">
        <f>-'Base'!B48-SUMPRODUCT('Base'!D6:D45,'Base'!I6:I45)+IFERROR(SUM('Base'!M6:M45)/Inputs!$D$13,0)*D$6*$A10*1000/1e6</f>
        <v/>
      </c>
      <c r="E10" s="22">
        <f>-'Base'!B48-SUMPRODUCT('Base'!D6:D45,'Base'!I6:I45)+IFERROR(SUM('Base'!M6:M45)/Inputs!$D$13,0)*E$6*$A10*1000/1e6</f>
        <v/>
      </c>
      <c r="F10" s="22">
        <f>-'Base'!B48-SUMPRODUCT('Base'!D6:D45,'Base'!I6:I45)+IFERROR(SUM('Base'!M6:M45)/Inputs!$D$13,0)*F$6*$A10*1000/1e6</f>
        <v/>
      </c>
    </row>
    <row r="11">
      <c r="A11" s="15" t="n">
        <v>2000</v>
      </c>
      <c r="B11" s="22">
        <f>-'Base'!B48-SUMPRODUCT('Base'!D6:D45,'Base'!I6:I45)+IFERROR(SUM('Base'!M6:M45)/Inputs!$D$13,0)*B$6*$A11*1000/1e6</f>
        <v/>
      </c>
      <c r="C11" s="22">
        <f>-'Base'!B48-SUMPRODUCT('Base'!D6:D45,'Base'!I6:I45)+IFERROR(SUM('Base'!M6:M45)/Inputs!$D$13,0)*C$6*$A11*1000/1e6</f>
        <v/>
      </c>
      <c r="D11" s="22">
        <f>-'Base'!B48-SUMPRODUCT('Base'!D6:D45,'Base'!I6:I45)+IFERROR(SUM('Base'!M6:M45)/Inputs!$D$13,0)*D$6*$A11*1000/1e6</f>
        <v/>
      </c>
      <c r="E11" s="22">
        <f>-'Base'!B48-SUMPRODUCT('Base'!D6:D45,'Base'!I6:I45)+IFERROR(SUM('Base'!M6:M45)/Inputs!$D$13,0)*E$6*$A11*1000/1e6</f>
        <v/>
      </c>
      <c r="F11" s="22">
        <f>-'Base'!B48-SUMPRODUCT('Base'!D6:D45,'Base'!I6:I45)+IFERROR(SUM('Base'!M6:M45)/Inputs!$D$13,0)*F$6*$A11*1000/1e6</f>
        <v/>
      </c>
    </row>
    <row r="12">
      <c r="A12" s="15" t="n">
        <v>3000</v>
      </c>
      <c r="B12" s="22">
        <f>-'Base'!B48-SUMPRODUCT('Base'!D6:D45,'Base'!I6:I45)+IFERROR(SUM('Base'!M6:M45)/Inputs!$D$13,0)*B$6*$A12*1000/1e6</f>
        <v/>
      </c>
      <c r="C12" s="22">
        <f>-'Base'!B48-SUMPRODUCT('Base'!D6:D45,'Base'!I6:I45)+IFERROR(SUM('Base'!M6:M45)/Inputs!$D$13,0)*C$6*$A12*1000/1e6</f>
        <v/>
      </c>
      <c r="D12" s="22">
        <f>-'Base'!B48-SUMPRODUCT('Base'!D6:D45,'Base'!I6:I45)+IFERROR(SUM('Base'!M6:M45)/Inputs!$D$13,0)*D$6*$A12*1000/1e6</f>
        <v/>
      </c>
      <c r="E12" s="22">
        <f>-'Base'!B48-SUMPRODUCT('Base'!D6:D45,'Base'!I6:I45)+IFERROR(SUM('Base'!M6:M45)/Inputs!$D$13,0)*E$6*$A12*1000/1e6</f>
        <v/>
      </c>
      <c r="F12" s="22">
        <f>-'Base'!B48-SUMPRODUCT('Base'!D6:D45,'Base'!I6:I45)+IFERROR(SUM('Base'!M6:M45)/Inputs!$D$13,0)*F$6*$A12*1000/1e6</f>
        <v/>
      </c>
    </row>
    <row r="13">
      <c r="A13" s="15" t="n">
        <v>5000</v>
      </c>
      <c r="B13" s="22">
        <f>-'Base'!B48-SUMPRODUCT('Base'!D6:D45,'Base'!I6:I45)+IFERROR(SUM('Base'!M6:M45)/Inputs!$D$13,0)*B$6*$A13*1000/1e6</f>
        <v/>
      </c>
      <c r="C13" s="22">
        <f>-'Base'!B48-SUMPRODUCT('Base'!D6:D45,'Base'!I6:I45)+IFERROR(SUM('Base'!M6:M45)/Inputs!$D$13,0)*C$6*$A13*1000/1e6</f>
        <v/>
      </c>
      <c r="D13" s="22">
        <f>-'Base'!B48-SUMPRODUCT('Base'!D6:D45,'Base'!I6:I45)+IFERROR(SUM('Base'!M6:M45)/Inputs!$D$13,0)*D$6*$A13*1000/1e6</f>
        <v/>
      </c>
      <c r="E13" s="22">
        <f>-'Base'!B48-SUMPRODUCT('Base'!D6:D45,'Base'!I6:I45)+IFERROR(SUM('Base'!M6:M45)/Inputs!$D$13,0)*E$6*$A13*1000/1e6</f>
        <v/>
      </c>
      <c r="F13" s="22">
        <f>-'Base'!B48-SUMPRODUCT('Base'!D6:D45,'Base'!I6:I45)+IFERROR(SUM('Base'!M6:M45)/Inputs!$D$13,0)*F$6*$A13*1000/1e6</f>
        <v/>
      </c>
    </row>
    <row r="15">
      <c r="A15" s="20" t="inlineStr">
        <is>
          <t>Note: opex and capex unchanged across the grid; in reality a higher extraction rate requires more capex and launched mass.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42" customWidth="1" min="1" max="1"/>
    <col width="18" customWidth="1" min="2" max="2"/>
    <col width="18" customWidth="1" min="3" max="3"/>
    <col width="18" customWidth="1" min="4" max="4"/>
    <col width="70" customWidth="1" min="5" max="5"/>
  </cols>
  <sheetData>
    <row r="1">
      <c r="A1" s="1" t="inlineStr">
        <is>
          <t>Earth-return price check — why headline valuations mislead</t>
        </is>
      </c>
    </row>
    <row r="2">
      <c r="A2" s="2" t="inlineStr">
        <is>
          <t>Constant-elasticity demand: P_new = P0 x ((Q0 + Q_added) / Q0)^(1/elasticity). Elasticity is an SRI assumption; reference prices/volumes are USGS (2025 estimates).</t>
        </is>
      </c>
    </row>
    <row r="3">
      <c r="A3" s="3" t="inlineStr">
        <is>
          <t>Space Resource Intelligence, published by 10timesIt LLC | 16psyche.space | SAMPLE EDITION — illustrative scenarios driven by user assumptions; not investment advice; outputs are not facts.</t>
        </is>
      </c>
    </row>
    <row r="5">
      <c r="A5" s="6" t="inlineStr">
        <is>
          <t>Item</t>
        </is>
      </c>
      <c r="B5" s="6" t="inlineStr">
        <is>
          <t>Nickel</t>
        </is>
      </c>
      <c r="C5" s="6" t="inlineStr">
        <is>
          <t>Platinum</t>
        </is>
      </c>
      <c r="D5" s="6" t="inlineStr">
        <is>
          <t>Iron ore</t>
        </is>
      </c>
      <c r="E5" s="6" t="inlineStr">
        <is>
          <t>Unit / note</t>
        </is>
      </c>
    </row>
    <row r="6">
      <c r="A6" s="4" t="inlineStr">
        <is>
          <t>Reference price P0</t>
        </is>
      </c>
      <c r="B6" s="9" t="n">
        <v>15000</v>
      </c>
      <c r="C6" s="9" t="n">
        <v>38580</v>
      </c>
      <c r="D6" s="9" t="n">
        <v>99</v>
      </c>
      <c r="E6" s="5" t="inlineStr">
        <is>
          <t>$/t (Ni: USGS MCS 2026 LME 2025e $15,000/t; Pt: USGS 2025e $1,200/troy oz = $38,580/kg shown as $/kg; Fe ore: USGS/CFR fines ≈ $99/t)</t>
        </is>
      </c>
    </row>
    <row r="7">
      <c r="A7" s="4" t="inlineStr">
        <is>
          <t>Unit for row above</t>
        </is>
      </c>
      <c r="B7" t="inlineStr">
        <is>
          <t>$/t</t>
        </is>
      </c>
      <c r="C7" t="inlineStr">
        <is>
          <t>$/kg</t>
        </is>
      </c>
      <c r="D7" t="inlineStr">
        <is>
          <t>$/t</t>
        </is>
      </c>
      <c r="E7" s="5" t="inlineStr"/>
    </row>
    <row r="8">
      <c r="A8" s="4" t="inlineStr">
        <is>
          <t>World annual production Q0</t>
        </is>
      </c>
      <c r="B8" s="9" t="n">
        <v>3900000</v>
      </c>
      <c r="C8" s="9" t="n">
        <v>170000</v>
      </c>
      <c r="D8" s="9" t="n">
        <v>2600000000</v>
      </c>
      <c r="E8" s="5" t="inlineStr">
        <is>
          <t>t (Ni), kg (Pt), t (iron ore) — USGS MCS 2026, 2025 estimates</t>
        </is>
      </c>
    </row>
    <row r="9">
      <c r="A9" s="4" t="inlineStr">
        <is>
          <t>Asteroid supply added per year</t>
        </is>
      </c>
      <c r="B9" s="23" t="n">
        <v>1000000</v>
      </c>
      <c r="C9" s="23" t="n">
        <v>170000</v>
      </c>
      <c r="D9" s="23" t="n">
        <v>100000000</v>
      </c>
      <c r="E9" s="5" t="inlineStr">
        <is>
          <t>same units as Q0 — USER ASSUMPTION</t>
        </is>
      </c>
    </row>
    <row r="10">
      <c r="A10" s="4" t="inlineStr">
        <is>
          <t>Price elasticity of demand (negative)</t>
        </is>
      </c>
      <c r="B10" s="24" t="n">
        <v>-1</v>
      </c>
      <c r="C10" s="24" t="n">
        <v>-0.8</v>
      </c>
      <c r="D10" s="24" t="n">
        <v>-1</v>
      </c>
      <c r="E10" s="5" t="inlineStr">
        <is>
          <t>USER ASSUMPTION (illustrative)</t>
        </is>
      </c>
    </row>
    <row r="12">
      <c r="A12" s="4" t="inlineStr">
        <is>
          <t>New market price (illustrative)</t>
        </is>
      </c>
      <c r="B12" s="25">
        <f>B6*((B8+B9)/B8)^(1/B10)</f>
        <v/>
      </c>
      <c r="C12" s="25">
        <f>C6*((C8+C9)/C8)^(1/C10)</f>
        <v/>
      </c>
      <c r="D12" s="25">
        <f>D6*((D8+D9)/D8)^(1/D10)</f>
        <v/>
      </c>
    </row>
    <row r="13">
      <c r="A13" s="4" t="inlineStr">
        <is>
          <t>Price change vs P0</t>
        </is>
      </c>
      <c r="B13" s="11">
        <f>B12/B6-1</f>
        <v/>
      </c>
      <c r="C13" s="11">
        <f>C12/C6-1</f>
        <v/>
      </c>
      <c r="D13" s="11">
        <f>D12/D6-1</f>
        <v/>
      </c>
    </row>
    <row r="14">
      <c r="A14" s="4" t="inlineStr">
        <is>
          <t>Market revenue before ($)</t>
        </is>
      </c>
      <c r="B14" s="9">
        <f>B6*B8</f>
        <v/>
      </c>
      <c r="C14" s="9">
        <f>C6*C8</f>
        <v/>
      </c>
      <c r="D14" s="9">
        <f>D6*D8</f>
        <v/>
      </c>
    </row>
    <row r="15">
      <c r="A15" s="4" t="inlineStr">
        <is>
          <t>Market revenue after, incl. asteroid ($)</t>
        </is>
      </c>
      <c r="B15" s="9">
        <f>B12*(B8+B9)</f>
        <v/>
      </c>
      <c r="C15" s="9">
        <f>C12*(C8+C9)</f>
        <v/>
      </c>
      <c r="D15" s="9">
        <f>D12*(D8+D9)</f>
        <v/>
      </c>
    </row>
    <row r="16">
      <c r="A16" s="4" t="inlineStr">
        <is>
          <t>Revenue accruing to asteroid supply ($)</t>
        </is>
      </c>
      <c r="B16" s="9">
        <f>B12*B9</f>
        <v/>
      </c>
      <c r="C16" s="9">
        <f>C12*C9</f>
        <v/>
      </c>
      <c r="D16" s="9">
        <f>D12*D9</f>
        <v/>
      </c>
    </row>
    <row r="18" ht="45" customHeight="1">
      <c r="A18" s="5" t="inlineStr">
        <is>
          <t>With elasticity = -1, total market revenue is unchanged no matter how much metal is added: every extra tonne simply lowers the price for everyone. This is the core reason '$10 quintillion' style valuations (mass x today's price) are not meaningful.</t>
        </is>
      </c>
    </row>
  </sheetData>
  <mergeCells count="1">
    <mergeCell ref="A18:E18"/>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8" customWidth="1" min="1" max="1"/>
    <col width="16" customWidth="1" min="2" max="2"/>
    <col width="14" customWidth="1" min="3" max="3"/>
    <col width="14" customWidth="1" min="4" max="4"/>
    <col width="90" customWidth="1" min="5" max="5"/>
  </cols>
  <sheetData>
    <row r="1">
      <c r="A1" s="1" t="inlineStr">
        <is>
          <t>16 Psyche contained-metal arithmetic</t>
        </is>
      </c>
    </row>
    <row r="2">
      <c r="A2" s="2" t="inlineStr">
        <is>
          <t>Mass is MEASURED (astrometry). Metal fraction is INFERRED/SPECULATIVE. PGM grades are SPECULATIVE analogues from iron meteorites.</t>
        </is>
      </c>
    </row>
    <row r="3">
      <c r="A3" s="3" t="inlineStr">
        <is>
          <t>Space Resource Intelligence, published by 10timesIt LLC | 16psyche.space | SAMPLE EDITION — illustrative scenarios driven by user assumptions; not investment advice; outputs are not facts.</t>
        </is>
      </c>
    </row>
    <row r="5">
      <c r="A5" s="6" t="inlineStr">
        <is>
          <t>Item</t>
        </is>
      </c>
      <c r="B5" s="6" t="inlineStr">
        <is>
          <t>Value</t>
        </is>
      </c>
      <c r="C5" s="6" t="inlineStr">
        <is>
          <t>Unit</t>
        </is>
      </c>
      <c r="D5" s="6" t="inlineStr">
        <is>
          <t>Grade</t>
        </is>
      </c>
      <c r="E5" s="6" t="inlineStr">
        <is>
          <t>Source / note</t>
        </is>
      </c>
    </row>
    <row r="6">
      <c r="A6" s="4" t="inlineStr">
        <is>
          <t>Mass of 16 Psyche</t>
        </is>
      </c>
      <c r="B6" s="26" t="n">
        <v>2.4e+19</v>
      </c>
      <c r="C6" t="inlineStr">
        <is>
          <t>kg</t>
        </is>
      </c>
      <c r="D6" t="inlineStr">
        <is>
          <t>MEASURED</t>
        </is>
      </c>
      <c r="E6" s="5" t="inlineStr">
        <is>
          <t>GM = 1.601 ± 0.017 km³/s² (Farnocchia et al. 2024, AJ 168, 21; JPL SBDB) → (2.40 ± 0.03)×10^19 kg</t>
        </is>
      </c>
    </row>
    <row r="7">
      <c r="A7" s="4" t="inlineStr">
        <is>
          <t>Bulk density</t>
        </is>
      </c>
      <c r="B7" s="9" t="n">
        <v>4172</v>
      </c>
      <c r="C7" t="inlineStr">
        <is>
          <t>kg/m³</t>
        </is>
      </c>
      <c r="D7" t="inlineStr">
        <is>
          <t>MEASURED</t>
        </is>
      </c>
      <c r="E7" s="5" t="inlineStr">
        <is>
          <t>4,172 ± 145 kg/m³ (Farnocchia et al. 2024)</t>
        </is>
      </c>
    </row>
    <row r="8">
      <c r="A8" s="4" t="inlineStr">
        <is>
          <t>Metal mass fraction (user)</t>
        </is>
      </c>
      <c r="B8" s="16" t="n">
        <v>0.5</v>
      </c>
      <c r="C8" t="inlineStr">
        <is>
          <t>fraction</t>
        </is>
      </c>
      <c r="D8" t="inlineStr">
        <is>
          <t>SPECULATIVE</t>
        </is>
      </c>
      <c r="E8" s="5" t="inlineStr">
        <is>
          <t>USER ASSUMPTION. Literature: ≥16 vol% at 95% conf. (Cambioni et al. 2026) ≈ ≥29 wt% under their mixture assumptions (SRI arithmetic); fully metallic allowed with 40–55% porosity.</t>
        </is>
      </c>
    </row>
    <row r="9">
      <c r="A9" s="4" t="inlineStr">
        <is>
          <t>Contained metal</t>
        </is>
      </c>
      <c r="B9" s="26">
        <f>B6*B8</f>
        <v/>
      </c>
      <c r="C9" t="inlineStr">
        <is>
          <t>kg</t>
        </is>
      </c>
      <c r="D9" t="inlineStr">
        <is>
          <t>INFERRED</t>
        </is>
      </c>
      <c r="E9" s="5" t="inlineStr">
        <is>
          <t>Formula: mass x metal fraction</t>
        </is>
      </c>
    </row>
    <row r="10">
      <c r="A10" s="4" t="inlineStr">
        <is>
          <t>World crude steel production 2025</t>
        </is>
      </c>
      <c r="B10" s="26" t="n">
        <v>1849400000000</v>
      </c>
      <c r="C10" t="inlineStr">
        <is>
          <t>kg/yr</t>
        </is>
      </c>
      <c r="D10" t="inlineStr">
        <is>
          <t>MEASURED</t>
        </is>
      </c>
      <c r="E10" s="5" t="inlineStr">
        <is>
          <t>worldsteel (Jan 2026 press release): 1,849.4 Mt</t>
        </is>
      </c>
    </row>
    <row r="11">
      <c r="A11" s="4" t="inlineStr">
        <is>
          <t>Years of world steel output contained</t>
        </is>
      </c>
      <c r="B11" s="26">
        <f>B9/B10</f>
        <v/>
      </c>
      <c r="C11" t="inlineStr">
        <is>
          <t>years</t>
        </is>
      </c>
      <c r="D11" t="inlineStr">
        <is>
          <t>INFERRED</t>
        </is>
      </c>
      <c r="E11" s="5" t="inlineStr">
        <is>
          <t>Formula: contained metal / annual steel output</t>
        </is>
      </c>
    </row>
    <row r="12">
      <c r="A12" s="4" t="inlineStr">
        <is>
          <t>Pt grade in metal (analogue)</t>
        </is>
      </c>
      <c r="B12" s="26" t="n">
        <v>2.88e-05</v>
      </c>
      <c r="C12" t="inlineStr">
        <is>
          <t>mass fraction</t>
        </is>
      </c>
      <c r="D12" t="inlineStr">
        <is>
          <t>SPECULATIVE</t>
        </is>
      </c>
      <c r="E12" s="5" t="inlineStr">
        <is>
          <t>28.8 ppm — Kargel (1994/1996) 90th-percentile iron-meteorite value, as tabulated by Sanchez et al. (2021). Psyche's PGM content is unmeasured.</t>
        </is>
      </c>
    </row>
    <row r="13">
      <c r="A13" s="4" t="inlineStr">
        <is>
          <t>Contained Pt (if analogue holds)</t>
        </is>
      </c>
      <c r="B13" s="26">
        <f>B9*B12</f>
        <v/>
      </c>
      <c r="C13" t="inlineStr">
        <is>
          <t>kg</t>
        </is>
      </c>
      <c r="D13" t="inlineStr">
        <is>
          <t>SPECULATIVE</t>
        </is>
      </c>
      <c r="E13" s="5" t="inlineStr">
        <is>
          <t>Formula: contained metal x Pt grade</t>
        </is>
      </c>
    </row>
    <row r="14">
      <c r="A14" s="4" t="inlineStr">
        <is>
          <t>World Pt mine production 2025e</t>
        </is>
      </c>
      <c r="B14" s="26" t="n">
        <v>170000</v>
      </c>
      <c r="C14" t="inlineStr">
        <is>
          <t>kg/yr</t>
        </is>
      </c>
      <c r="D14" t="inlineStr">
        <is>
          <t>MEASURED</t>
        </is>
      </c>
      <c r="E14" s="5" t="inlineStr">
        <is>
          <t>USGS MCS 2026</t>
        </is>
      </c>
    </row>
    <row r="15">
      <c r="A15" s="4" t="inlineStr">
        <is>
          <t>Years of world Pt mine output</t>
        </is>
      </c>
      <c r="B15" s="26">
        <f>B13/B14</f>
        <v/>
      </c>
      <c r="C15" t="inlineStr">
        <is>
          <t>years</t>
        </is>
      </c>
      <c r="D15" t="inlineStr">
        <is>
          <t>SPECULATIVE</t>
        </is>
      </c>
      <c r="E15" s="5" t="inlineStr">
        <is>
          <t>Formula: contained Pt / annual output</t>
        </is>
      </c>
    </row>
    <row r="16">
      <c r="A16" s="4" t="inlineStr">
        <is>
          <t>Headline value often quoted</t>
        </is>
      </c>
      <c r="B16" s="26" t="n">
        <v>1e+19</v>
      </c>
      <c r="C16" t="inlineStr">
        <is>
          <t>US$</t>
        </is>
      </c>
      <c r="D16" t="inlineStr">
        <is>
          <t>—</t>
        </is>
      </c>
      <c r="E16" s="5" t="inlineStr">
        <is>
          <t>'$10,000 quadrillion' — 2017 back-of-envelope by the mission PI, who calls it 'meaningless in every way' (HowStuffWorks interview).</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42" customWidth="1" min="1" max="1"/>
    <col width="48" customWidth="1" min="2" max="2"/>
    <col width="22" customWidth="1" min="3" max="3"/>
    <col width="70" customWidth="1" min="4" max="4"/>
  </cols>
  <sheetData>
    <row r="1">
      <c r="A1" s="1" t="inlineStr">
        <is>
          <t>Reference data with confidence grades</t>
        </is>
      </c>
    </row>
    <row r="2">
      <c r="A2" s="2" t="inlineStr">
        <is>
          <t>MEASURED / INFERRED / SPECULATIVE. Full citations in the PDF report appendix.</t>
        </is>
      </c>
    </row>
    <row r="3">
      <c r="A3" s="3" t="inlineStr">
        <is>
          <t>Space Resource Intelligence, published by 10timesIt LLC | 16psyche.space | SAMPLE EDITION — illustrative scenarios driven by user assumptions; not investment advice; outputs are not facts.</t>
        </is>
      </c>
    </row>
    <row r="5">
      <c r="A5" s="6" t="inlineStr">
        <is>
          <t>Quantity</t>
        </is>
      </c>
      <c r="B5" s="6" t="inlineStr">
        <is>
          <t>Value</t>
        </is>
      </c>
      <c r="C5" s="6" t="inlineStr">
        <is>
          <t>Grade</t>
        </is>
      </c>
      <c r="D5" s="6" t="inlineStr">
        <is>
          <t>Source</t>
        </is>
      </c>
    </row>
    <row r="6">
      <c r="A6" s="27" t="inlineStr">
        <is>
          <t>Mean (volume-equivalent) diameter</t>
        </is>
      </c>
      <c r="B6" s="27" t="inlineStr">
        <is>
          <t>222 (+4/−1) km</t>
        </is>
      </c>
      <c r="C6" s="27" t="inlineStr">
        <is>
          <t>MEASURED</t>
        </is>
      </c>
      <c r="D6" s="27" t="inlineStr">
        <is>
          <t>Shepard et al. 2021, PSJ 2:125 (via JPL SBDB)</t>
        </is>
      </c>
    </row>
    <row r="7">
      <c r="A7" s="27" t="inlineStr">
        <is>
          <t>Tri-axial dimensions</t>
        </is>
      </c>
      <c r="B7" s="27" t="inlineStr">
        <is>
          <t>278 × 238 × 171 km</t>
        </is>
      </c>
      <c r="C7" s="27" t="inlineStr">
        <is>
          <t>MEASURED</t>
        </is>
      </c>
      <c r="D7" s="27" t="inlineStr">
        <is>
          <t>Shepard et al. 2021</t>
        </is>
      </c>
    </row>
    <row r="8">
      <c r="A8" s="27" t="inlineStr">
        <is>
          <t>GM / mass</t>
        </is>
      </c>
      <c r="B8" s="27" t="inlineStr">
        <is>
          <t>1.601 ± 0.017 km³/s² / ≈2.40×10^19 kg</t>
        </is>
      </c>
      <c r="C8" s="27" t="inlineStr">
        <is>
          <t>MEASURED</t>
        </is>
      </c>
      <c r="D8" s="27" t="inlineStr">
        <is>
          <t>Farnocchia et al. 2024, AJ 168:21</t>
        </is>
      </c>
    </row>
    <row r="9">
      <c r="A9" s="27" t="inlineStr">
        <is>
          <t>Bulk density</t>
        </is>
      </c>
      <c r="B9" s="27" t="inlineStr">
        <is>
          <t>4,172 ± 145 kg/m³</t>
        </is>
      </c>
      <c r="C9" s="27" t="inlineStr">
        <is>
          <t>MEASURED</t>
        </is>
      </c>
      <c r="D9" s="27" t="inlineStr">
        <is>
          <t>Farnocchia et al. 2024</t>
        </is>
      </c>
    </row>
    <row r="10">
      <c r="A10" s="27" t="inlineStr">
        <is>
          <t>Rotation period</t>
        </is>
      </c>
      <c r="B10" s="27" t="inlineStr">
        <is>
          <t>4.196 h</t>
        </is>
      </c>
      <c r="C10" s="27" t="inlineStr">
        <is>
          <t>MEASURED</t>
        </is>
      </c>
      <c r="D10" s="27" t="inlineStr">
        <is>
          <t>JPL SBDB / LCDB</t>
        </is>
      </c>
    </row>
    <row r="11">
      <c r="A11" s="27" t="inlineStr">
        <is>
          <t>Semi-major axis / e / i</t>
        </is>
      </c>
      <c r="B11" s="27" t="inlineStr">
        <is>
          <t>2.92–2.93 au / 0.134–0.135 / 3.1°</t>
        </is>
      </c>
      <c r="C11" s="27" t="inlineStr">
        <is>
          <t>MEASURED</t>
        </is>
      </c>
      <c r="D11" s="27" t="inlineStr">
        <is>
          <t>JPL SBDB (solution 2025-02-06)</t>
        </is>
      </c>
    </row>
    <row r="12">
      <c r="A12" s="27" t="inlineStr">
        <is>
          <t>Orbital period</t>
        </is>
      </c>
      <c r="B12" s="27" t="inlineStr">
        <is>
          <t>≈1,826–1,830 d (≈5.0 yr)</t>
        </is>
      </c>
      <c r="C12" s="27" t="inlineStr">
        <is>
          <t>MEASURED</t>
        </is>
      </c>
      <c r="D12" s="27" t="inlineStr">
        <is>
          <t>JPL SBDB</t>
        </is>
      </c>
    </row>
    <row r="13">
      <c r="A13" s="27" t="inlineStr">
        <is>
          <t>Radar albedo</t>
        </is>
      </c>
      <c r="B13" s="27" t="inlineStr">
        <is>
          <t>0.34 ± 0.08 (range ~0.22–0.52 across surface)</t>
        </is>
      </c>
      <c r="C13" s="27" t="inlineStr">
        <is>
          <t>MEASURED</t>
        </is>
      </c>
      <c r="D13" s="27" t="inlineStr">
        <is>
          <t>Shepard et al. 2021</t>
        </is>
      </c>
    </row>
    <row r="14">
      <c r="A14" s="27" t="inlineStr">
        <is>
          <t>Bulk metal content</t>
        </is>
      </c>
      <c r="B14" s="27" t="inlineStr">
        <is>
          <t>~30–60 vol% (2020 preflight); ≥16 vol% at 95% conf. (2026)</t>
        </is>
      </c>
      <c r="C14" s="27" t="inlineStr">
        <is>
          <t>INFERRED</t>
        </is>
      </c>
      <c r="D14" s="27" t="inlineStr">
        <is>
          <t>Elkins-Tanton et al. 2020 JGR Planets; Cambioni et al. 2026 JGR Planets</t>
        </is>
      </c>
    </row>
    <row r="15">
      <c r="A15" s="27" t="inlineStr">
        <is>
          <t>Surface composition model</t>
        </is>
      </c>
      <c r="B15" s="27" t="inlineStr">
        <is>
          <t>82.5% metal, 7% pyroxene, 10.5% carbonaceous chondrite</t>
        </is>
      </c>
      <c r="C15" s="27" t="inlineStr">
        <is>
          <t>INFERRED</t>
        </is>
      </c>
      <c r="D15" s="27" t="inlineStr">
        <is>
          <t>Cantillo et al. 2021 PSJ (via U. Arizona news)</t>
        </is>
      </c>
    </row>
    <row r="16">
      <c r="A16" s="27" t="inlineStr">
        <is>
          <t>Hydration (JWST)</t>
        </is>
      </c>
      <c r="B16" s="27" t="inlineStr">
        <is>
          <t>H ≈ 250–400 ppm; H2O ≤ 39 ppm</t>
        </is>
      </c>
      <c r="C16" s="27" t="inlineStr">
        <is>
          <t>INFERRED</t>
        </is>
      </c>
      <c r="D16" s="27" t="inlineStr">
        <is>
          <t>'Estimate of Water and Hydroxyl Abundance on Asteroid (16) Psyche from JWST Data', Planetary Science Journal (2024), doi:10.3847/PSJ/ad66b9</t>
        </is>
      </c>
    </row>
    <row r="17">
      <c r="A17" s="27" t="inlineStr">
        <is>
          <t>Surface gravity (sphere-equivalent)</t>
        </is>
      </c>
      <c r="B17" s="27" t="inlineStr">
        <is>
          <t>≈0.13 m/s²</t>
        </is>
      </c>
      <c r="C17" s="27" t="inlineStr">
        <is>
          <t>INFERRED</t>
        </is>
      </c>
      <c r="D17" s="27" t="inlineStr">
        <is>
          <t>SRI calc from GM and 111 km mean radius</t>
        </is>
      </c>
    </row>
    <row r="18">
      <c r="A18" s="27" t="inlineStr">
        <is>
          <t>Escape velocity (sphere-equivalent)</t>
        </is>
      </c>
      <c r="B18" s="27" t="inlineStr">
        <is>
          <t>≈170 m/s</t>
        </is>
      </c>
      <c r="C18" s="27" t="inlineStr">
        <is>
          <t>INFERRED</t>
        </is>
      </c>
      <c r="D18" s="27" t="inlineStr">
        <is>
          <t>SRI calc</t>
        </is>
      </c>
    </row>
    <row r="19">
      <c r="A19" s="27" t="inlineStr">
        <is>
          <t>Ideal Hohmann Δv LEO→Psyche rendezvous</t>
        </is>
      </c>
      <c r="B19" s="27" t="inlineStr">
        <is>
          <t>≈10 km/s (impulsive, 2.92 au circular approx.)</t>
        </is>
      </c>
      <c r="C19" s="27" t="inlineStr">
        <is>
          <t>INFERRED</t>
        </is>
      </c>
      <c r="D19" s="27" t="inlineStr">
        <is>
          <t>SRI calc; real trajectories differ</t>
        </is>
      </c>
    </row>
    <row r="20">
      <c r="A20" s="27" t="inlineStr">
        <is>
          <t>NASA Psyche launch / arrival</t>
        </is>
      </c>
      <c r="B20" s="27" t="inlineStr">
        <is>
          <t>13 Oct 2023 / Aug 2029</t>
        </is>
      </c>
      <c r="C20" s="27" t="inlineStr">
        <is>
          <t>MEASURED / PLANNED</t>
        </is>
      </c>
      <c r="D20" s="27" t="inlineStr">
        <is>
          <t>NASA</t>
        </is>
      </c>
    </row>
    <row r="21">
      <c r="A21" s="27" t="inlineStr">
        <is>
          <t>Mars gravity assist</t>
        </is>
      </c>
      <c r="B21" s="27" t="inlineStr">
        <is>
          <t>15 May 2026, 4,609 km altitude</t>
        </is>
      </c>
      <c r="C21" s="27" t="inlineStr">
        <is>
          <t>MEASURED</t>
        </is>
      </c>
      <c r="D21" s="27" t="inlineStr">
        <is>
          <t>NASA/JPL</t>
        </is>
      </c>
    </row>
    <row r="22">
      <c r="A22" s="27" t="inlineStr">
        <is>
          <t>Psyche mission life-cycle cost</t>
        </is>
      </c>
      <c r="B22" s="27" t="inlineStr">
        <is>
          <t>$985M incl. launch</t>
        </is>
      </c>
      <c r="C22" s="27" t="inlineStr">
        <is>
          <t>MEASURED (reported)</t>
        </is>
      </c>
      <c r="D22" s="27" t="inlineStr">
        <is>
          <t>NASA statement, 2022</t>
        </is>
      </c>
    </row>
    <row r="23">
      <c r="A23" s="27" t="inlineStr">
        <is>
          <t>Falcon 9 / Falcon Heavy $/kg to LEO</t>
        </is>
      </c>
      <c r="B23" s="27" t="inlineStr">
        <is>
          <t>≈$2.7k / ≈$1.4k (2018 $)</t>
        </is>
      </c>
      <c r="C23" s="27" t="inlineStr">
        <is>
          <t>MEASURED (published price ÷ capacity)</t>
        </is>
      </c>
      <c r="D23" s="27" t="inlineStr">
        <is>
          <t>Jones 2018, NASA NTRS 20200001093</t>
        </is>
      </c>
    </row>
    <row r="24">
      <c r="A24" s="27" t="inlineStr">
        <is>
          <t>SpaceX rideshare to SSO</t>
        </is>
      </c>
      <c r="B24" s="27" t="inlineStr">
        <is>
          <t>$350k for 50 kg + $7k/kg</t>
        </is>
      </c>
      <c r="C24" s="27" t="inlineStr">
        <is>
          <t>MEASURED (reported list price)</t>
        </is>
      </c>
      <c r="D24" s="27" t="inlineStr">
        <is>
          <t>New Space Economy, Feb 2026, citing SpaceX</t>
        </is>
      </c>
    </row>
    <row r="25">
      <c r="A25" s="27" t="inlineStr">
        <is>
          <t>World nickel mine production 2025e</t>
        </is>
      </c>
      <c r="B25" s="27" t="inlineStr">
        <is>
          <t>3.9 Mt</t>
        </is>
      </c>
      <c r="C25" s="27" t="inlineStr">
        <is>
          <t>MEASURED</t>
        </is>
      </c>
      <c r="D25" s="27" t="inlineStr">
        <is>
          <t>USGS MCS 2026</t>
        </is>
      </c>
    </row>
    <row r="26">
      <c r="A26" s="27" t="inlineStr">
        <is>
          <t>LME nickel price 2025e</t>
        </is>
      </c>
      <c r="B26" s="27" t="inlineStr">
        <is>
          <t>$15,000/t</t>
        </is>
      </c>
      <c r="C26" s="27" t="inlineStr">
        <is>
          <t>MEASURED</t>
        </is>
      </c>
      <c r="D26" s="27" t="inlineStr">
        <is>
          <t>USGS MCS 2026</t>
        </is>
      </c>
    </row>
    <row r="27">
      <c r="A27" s="27" t="inlineStr">
        <is>
          <t>World iron ore production 2025e</t>
        </is>
      </c>
      <c r="B27" s="27" t="inlineStr">
        <is>
          <t>2.6 Gt usable ore</t>
        </is>
      </c>
      <c r="C27" s="27" t="inlineStr">
        <is>
          <t>MEASURED</t>
        </is>
      </c>
      <c r="D27" s="27" t="inlineStr">
        <is>
          <t>USGS MCS 2026</t>
        </is>
      </c>
    </row>
    <row r="28">
      <c r="A28" s="27" t="inlineStr">
        <is>
          <t>World crude steel 2025</t>
        </is>
      </c>
      <c r="B28" s="27" t="inlineStr">
        <is>
          <t>1,849.4 Mt</t>
        </is>
      </c>
      <c r="C28" s="27" t="inlineStr">
        <is>
          <t>MEASURED</t>
        </is>
      </c>
      <c r="D28" s="27" t="inlineStr">
        <is>
          <t>worldsteel</t>
        </is>
      </c>
    </row>
    <row r="29">
      <c r="A29" s="27" t="inlineStr">
        <is>
          <t>World Pt / Pd mine production 2025e</t>
        </is>
      </c>
      <c r="B29" s="27" t="inlineStr">
        <is>
          <t>170 t / 190 t</t>
        </is>
      </c>
      <c r="C29" s="27" t="inlineStr">
        <is>
          <t>MEASURED</t>
        </is>
      </c>
      <c r="D29" s="27" t="inlineStr">
        <is>
          <t>USGS MCS 2026</t>
        </is>
      </c>
    </row>
    <row r="30">
      <c r="A30" s="27" t="inlineStr">
        <is>
          <t>Pt / Pd price 2025e</t>
        </is>
      </c>
      <c r="B30" s="27" t="inlineStr">
        <is>
          <t>$1,200 / $1,100 per troy oz</t>
        </is>
      </c>
      <c r="C30" s="27" t="inlineStr">
        <is>
          <t>MEASURED</t>
        </is>
      </c>
      <c r="D30" s="27" t="inlineStr">
        <is>
          <t>USGS MCS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Space Resource Intelligence, published by 10timesIt LLC</dc:creator>
  <dcterms:created xmlns:dcterms="http://purl.org/dc/terms/" xmlns:xsi="http://www.w3.org/2001/XMLSchema-instance" xsi:type="dcterms:W3CDTF">2026-10-25T00:25:01Z</dcterms:created>
  <dcterms:modified xmlns:dcterms="http://purl.org/dc/terms/" xmlns:xsi="http://www.w3.org/2001/XMLSchema-instance" xsi:type="dcterms:W3CDTF">2026-10-25T00:25:01Z</dcterms:modified>
</cp:coreProperties>
</file>